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co365-my.sharepoint.com/personal/nzinsmeyer_wilco_org/Documents/Desktop/Mygov Updates/"/>
    </mc:Choice>
  </mc:AlternateContent>
  <xr:revisionPtr revIDLastSave="0" documentId="8_{980D93A1-A12E-4A1C-A659-D5D192B60309}" xr6:coauthVersionLast="47" xr6:coauthVersionMax="47" xr10:uidLastSave="{00000000-0000-0000-0000-000000000000}"/>
  <bookViews>
    <workbookView xWindow="3072" yWindow="3072" windowWidth="17280" windowHeight="9960" tabRatio="932" activeTab="5" xr2:uid="{00000000-000D-0000-FFFF-FFFF00000000}"/>
  </bookViews>
  <sheets>
    <sheet name="GF Summary" sheetId="5" r:id="rId1"/>
    <sheet name="GF REPORT REV" sheetId="2" r:id="rId2"/>
    <sheet name="GF REPORT REV-SUP" sheetId="11" r:id="rId3"/>
    <sheet name="GF REPORT EXP" sheetId="4" r:id="rId4"/>
    <sheet name="GF REPORT EXP-SUP" sheetId="12" r:id="rId5"/>
    <sheet name="R&amp;B and Debt Svc" sheetId="3" r:id="rId6"/>
    <sheet name="R&amp;B - SUP" sheetId="13" r:id="rId7"/>
    <sheet name="R&amp;B - SUP - EXP" sheetId="14" r:id="rId8"/>
    <sheet name="Debt Svc - SUP" sheetId="15" r:id="rId9"/>
    <sheet name="Debt Svc - EXP" sheetId="16" r:id="rId10"/>
    <sheet name="Not Used - Tax Comparison" sheetId="6" state="hidden" r:id="rId11"/>
    <sheet name="Not Used - GF Summary Target" sheetId="7" state="hidden" r:id="rId12"/>
    <sheet name="Not Used - GF REPORT REV Target" sheetId="8" state="hidden" r:id="rId13"/>
    <sheet name="Not Used - GF REPORT EXP Target" sheetId="9" state="hidden" r:id="rId14"/>
    <sheet name="Not Used -R&amp;B &amp; Debt Svc Target" sheetId="10" state="hidden" r:id="rId15"/>
  </sheets>
  <definedNames>
    <definedName name="_xlnm.Print_Area" localSheetId="3">'GF REPORT EXP'!$B$3:$O$95</definedName>
    <definedName name="_xlnm.Print_Area" localSheetId="1">'GF REPORT REV'!$B$4:$N$62</definedName>
    <definedName name="_xlnm.Print_Area" localSheetId="0">'GF Summary'!$B$3:$N$32</definedName>
    <definedName name="_xlnm.Print_Area" localSheetId="13">'Not Used - GF REPORT EXP Target'!$A$1:$Q$84</definedName>
    <definedName name="_xlnm.Print_Area" localSheetId="12">'Not Used - GF REPORT REV Target'!$A$1:$Q$61</definedName>
    <definedName name="_xlnm.Print_Area" localSheetId="10">'Not Used - Tax Comparison'!$A$1:$M$26</definedName>
    <definedName name="_xlnm.Print_Area" localSheetId="14">'Not Used -R&amp;B &amp; Debt Svc Target'!$A$1:$Q$60</definedName>
    <definedName name="_xlnm.Print_Area" localSheetId="5">'R&amp;B and Debt Svc'!$B$3:$O$68</definedName>
    <definedName name="_xlnm.Print_Titles" localSheetId="3">'GF REPORT EXP'!$3:$7</definedName>
    <definedName name="_xlnm.Print_Titles" localSheetId="1">'GF REPORT REV'!$4:$8</definedName>
    <definedName name="_xlnm.Print_Titles" localSheetId="13">'Not Used - GF REPORT EXP Target'!$1:$6</definedName>
    <definedName name="_xlnm.Print_Titles" localSheetId="12">'Not Used - GF REPORT REV Target'!$1:$4</definedName>
    <definedName name="_xlnm.Print_Titles" localSheetId="10">'Not Used - Tax Comparison'!$1:$5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3" l="1"/>
  <c r="J52" i="3"/>
  <c r="J49" i="3"/>
  <c r="J48" i="3"/>
  <c r="J47" i="3"/>
  <c r="J46" i="3"/>
  <c r="I52" i="3"/>
  <c r="I51" i="3"/>
  <c r="I49" i="3"/>
  <c r="I48" i="3"/>
  <c r="I47" i="3"/>
  <c r="I46" i="3"/>
  <c r="H46" i="3"/>
  <c r="H47" i="3"/>
  <c r="H48" i="3"/>
  <c r="H49" i="3"/>
  <c r="H52" i="3"/>
  <c r="G52" i="3"/>
  <c r="G51" i="3"/>
  <c r="G49" i="3"/>
  <c r="G48" i="3"/>
  <c r="G47" i="3"/>
  <c r="G46" i="3"/>
  <c r="F52" i="3"/>
  <c r="F48" i="3"/>
  <c r="F49" i="3"/>
  <c r="F47" i="3"/>
  <c r="F46" i="3"/>
  <c r="J13" i="3"/>
  <c r="H13" i="3"/>
  <c r="G13" i="3"/>
  <c r="F13" i="3"/>
  <c r="J15" i="3"/>
  <c r="J14" i="3"/>
  <c r="J12" i="3"/>
  <c r="J11" i="3"/>
  <c r="J9" i="3"/>
  <c r="I15" i="3"/>
  <c r="H15" i="3"/>
  <c r="G15" i="3"/>
  <c r="I14" i="3"/>
  <c r="H14" i="3"/>
  <c r="G14" i="3"/>
  <c r="I13" i="3"/>
  <c r="I12" i="3"/>
  <c r="H12" i="3"/>
  <c r="G12" i="3"/>
  <c r="I11" i="3"/>
  <c r="H11" i="3"/>
  <c r="G11" i="3"/>
  <c r="I10" i="3"/>
  <c r="H10" i="3"/>
  <c r="G10" i="3"/>
  <c r="I9" i="3"/>
  <c r="H9" i="3"/>
  <c r="G9" i="3"/>
  <c r="F10" i="3"/>
  <c r="F11" i="3"/>
  <c r="F12" i="3"/>
  <c r="F14" i="3"/>
  <c r="F15" i="3"/>
  <c r="F9" i="3"/>
  <c r="F30" i="3"/>
  <c r="F71" i="4" l="1"/>
  <c r="G71" i="4"/>
  <c r="H71" i="4"/>
  <c r="I71" i="4"/>
  <c r="J71" i="4"/>
  <c r="L71" i="4"/>
  <c r="N71" i="4"/>
  <c r="J30" i="4"/>
  <c r="I30" i="4"/>
  <c r="H30" i="4"/>
  <c r="F30" i="4"/>
  <c r="F19" i="4"/>
  <c r="H19" i="4"/>
  <c r="L19" i="4" s="1"/>
  <c r="I19" i="4"/>
  <c r="J19" i="4"/>
  <c r="J59" i="2"/>
  <c r="H59" i="2"/>
  <c r="L59" i="2" s="1"/>
  <c r="N59" i="2" s="1"/>
  <c r="F59" i="2"/>
  <c r="J58" i="2"/>
  <c r="H58" i="2"/>
  <c r="L58" i="2" s="1"/>
  <c r="F58" i="2"/>
  <c r="J65" i="3"/>
  <c r="H65" i="3"/>
  <c r="G65" i="3"/>
  <c r="F65" i="3"/>
  <c r="J64" i="3"/>
  <c r="H64" i="3"/>
  <c r="G64" i="3"/>
  <c r="F64" i="3"/>
  <c r="J63" i="3"/>
  <c r="H63" i="3"/>
  <c r="G63" i="3"/>
  <c r="F63" i="3"/>
  <c r="J62" i="3"/>
  <c r="H62" i="3"/>
  <c r="G62" i="3"/>
  <c r="F62" i="3"/>
  <c r="J61" i="3"/>
  <c r="H61" i="3"/>
  <c r="G61" i="3"/>
  <c r="F61" i="3"/>
  <c r="J30" i="3"/>
  <c r="H30" i="3"/>
  <c r="J33" i="3"/>
  <c r="H33" i="3"/>
  <c r="F33" i="3"/>
  <c r="J26" i="3"/>
  <c r="H26" i="3"/>
  <c r="G26" i="3"/>
  <c r="F26" i="3"/>
  <c r="J25" i="3"/>
  <c r="H25" i="3"/>
  <c r="G25" i="3"/>
  <c r="F25" i="3"/>
  <c r="J91" i="4"/>
  <c r="I91" i="4"/>
  <c r="H91" i="4"/>
  <c r="G91" i="4"/>
  <c r="F91" i="4"/>
  <c r="J90" i="4"/>
  <c r="I90" i="4"/>
  <c r="H90" i="4"/>
  <c r="G90" i="4"/>
  <c r="F90" i="4"/>
  <c r="J89" i="4"/>
  <c r="I89" i="4"/>
  <c r="H89" i="4"/>
  <c r="G89" i="4"/>
  <c r="F89" i="4"/>
  <c r="J88" i="4"/>
  <c r="I88" i="4"/>
  <c r="H88" i="4"/>
  <c r="G88" i="4"/>
  <c r="F88" i="4"/>
  <c r="J87" i="4"/>
  <c r="I87" i="4"/>
  <c r="H87" i="4"/>
  <c r="G87" i="4"/>
  <c r="F87" i="4"/>
  <c r="J86" i="4"/>
  <c r="I86" i="4"/>
  <c r="H86" i="4"/>
  <c r="G86" i="4"/>
  <c r="F86" i="4"/>
  <c r="J85" i="4"/>
  <c r="I85" i="4"/>
  <c r="H85" i="4"/>
  <c r="G85" i="4"/>
  <c r="F85" i="4"/>
  <c r="J84" i="4"/>
  <c r="I84" i="4"/>
  <c r="H84" i="4"/>
  <c r="G84" i="4"/>
  <c r="F84" i="4"/>
  <c r="J83" i="4"/>
  <c r="I83" i="4"/>
  <c r="H83" i="4"/>
  <c r="G83" i="4"/>
  <c r="F83" i="4"/>
  <c r="J79" i="4"/>
  <c r="I79" i="4"/>
  <c r="H79" i="4"/>
  <c r="G79" i="4"/>
  <c r="F79" i="4"/>
  <c r="J78" i="4"/>
  <c r="I78" i="4"/>
  <c r="H78" i="4"/>
  <c r="G78" i="4"/>
  <c r="F78" i="4"/>
  <c r="J77" i="4"/>
  <c r="I77" i="4"/>
  <c r="H77" i="4"/>
  <c r="G77" i="4"/>
  <c r="F77" i="4"/>
  <c r="J76" i="4"/>
  <c r="I76" i="4"/>
  <c r="H76" i="4"/>
  <c r="G76" i="4"/>
  <c r="F76" i="4"/>
  <c r="J75" i="4"/>
  <c r="I75" i="4"/>
  <c r="H75" i="4"/>
  <c r="G75" i="4"/>
  <c r="F75" i="4"/>
  <c r="J74" i="4"/>
  <c r="I74" i="4"/>
  <c r="H74" i="4"/>
  <c r="G74" i="4"/>
  <c r="F74" i="4"/>
  <c r="J73" i="4"/>
  <c r="I73" i="4"/>
  <c r="H73" i="4"/>
  <c r="G73" i="4"/>
  <c r="F73" i="4"/>
  <c r="J72" i="4"/>
  <c r="I72" i="4"/>
  <c r="H72" i="4"/>
  <c r="G72" i="4"/>
  <c r="F72" i="4"/>
  <c r="J70" i="4"/>
  <c r="I70" i="4"/>
  <c r="H70" i="4"/>
  <c r="G70" i="4"/>
  <c r="F70" i="4"/>
  <c r="J69" i="4"/>
  <c r="I69" i="4"/>
  <c r="H69" i="4"/>
  <c r="G69" i="4"/>
  <c r="F69" i="4"/>
  <c r="J68" i="4"/>
  <c r="I68" i="4"/>
  <c r="H68" i="4"/>
  <c r="G68" i="4"/>
  <c r="F68" i="4"/>
  <c r="J67" i="4"/>
  <c r="I67" i="4"/>
  <c r="H67" i="4"/>
  <c r="G67" i="4"/>
  <c r="F67" i="4"/>
  <c r="J66" i="4"/>
  <c r="I66" i="4"/>
  <c r="H66" i="4"/>
  <c r="G66" i="4"/>
  <c r="F66" i="4"/>
  <c r="J65" i="4"/>
  <c r="I65" i="4"/>
  <c r="H65" i="4"/>
  <c r="G65" i="4"/>
  <c r="F65" i="4"/>
  <c r="J64" i="4"/>
  <c r="I64" i="4"/>
  <c r="H64" i="4"/>
  <c r="G64" i="4"/>
  <c r="F64" i="4"/>
  <c r="J63" i="4"/>
  <c r="I63" i="4"/>
  <c r="H63" i="4"/>
  <c r="G63" i="4"/>
  <c r="F63" i="4"/>
  <c r="J62" i="4"/>
  <c r="I62" i="4"/>
  <c r="H62" i="4"/>
  <c r="G62" i="4"/>
  <c r="F62" i="4"/>
  <c r="J61" i="4"/>
  <c r="I61" i="4"/>
  <c r="H61" i="4"/>
  <c r="G61" i="4"/>
  <c r="F61" i="4"/>
  <c r="J60" i="4"/>
  <c r="I60" i="4"/>
  <c r="H60" i="4"/>
  <c r="G60" i="4"/>
  <c r="F60" i="4"/>
  <c r="J59" i="4"/>
  <c r="I59" i="4"/>
  <c r="H59" i="4"/>
  <c r="G59" i="4"/>
  <c r="F59" i="4"/>
  <c r="J58" i="4"/>
  <c r="I58" i="4"/>
  <c r="H58" i="4"/>
  <c r="G58" i="4"/>
  <c r="F58" i="4"/>
  <c r="J57" i="4"/>
  <c r="I57" i="4"/>
  <c r="H57" i="4"/>
  <c r="G57" i="4"/>
  <c r="F57" i="4"/>
  <c r="J56" i="4"/>
  <c r="I56" i="4"/>
  <c r="H56" i="4"/>
  <c r="G56" i="4"/>
  <c r="F56" i="4"/>
  <c r="J55" i="4"/>
  <c r="I55" i="4"/>
  <c r="H55" i="4"/>
  <c r="G55" i="4"/>
  <c r="F55" i="4"/>
  <c r="J54" i="4"/>
  <c r="I54" i="4"/>
  <c r="H54" i="4"/>
  <c r="G54" i="4"/>
  <c r="F54" i="4"/>
  <c r="J50" i="4"/>
  <c r="I50" i="4"/>
  <c r="H50" i="4"/>
  <c r="G50" i="4"/>
  <c r="F50" i="4"/>
  <c r="J49" i="4"/>
  <c r="I49" i="4"/>
  <c r="H49" i="4"/>
  <c r="G49" i="4"/>
  <c r="F49" i="4"/>
  <c r="J48" i="4"/>
  <c r="I48" i="4"/>
  <c r="H48" i="4"/>
  <c r="G48" i="4"/>
  <c r="F48" i="4"/>
  <c r="J47" i="4"/>
  <c r="I47" i="4"/>
  <c r="H47" i="4"/>
  <c r="G47" i="4"/>
  <c r="F47" i="4"/>
  <c r="J46" i="4"/>
  <c r="I46" i="4"/>
  <c r="H46" i="4"/>
  <c r="G46" i="4"/>
  <c r="F46" i="4"/>
  <c r="J45" i="4"/>
  <c r="I45" i="4"/>
  <c r="H45" i="4"/>
  <c r="G45" i="4"/>
  <c r="F45" i="4"/>
  <c r="J44" i="4"/>
  <c r="I44" i="4"/>
  <c r="H44" i="4"/>
  <c r="G44" i="4"/>
  <c r="F44" i="4"/>
  <c r="J43" i="4"/>
  <c r="I43" i="4"/>
  <c r="H43" i="4"/>
  <c r="G43" i="4"/>
  <c r="F43" i="4"/>
  <c r="J42" i="4"/>
  <c r="I42" i="4"/>
  <c r="H42" i="4"/>
  <c r="G42" i="4"/>
  <c r="F42" i="4"/>
  <c r="J41" i="4"/>
  <c r="I41" i="4"/>
  <c r="H41" i="4"/>
  <c r="G41" i="4"/>
  <c r="F41" i="4"/>
  <c r="J40" i="4"/>
  <c r="I40" i="4"/>
  <c r="H40" i="4"/>
  <c r="G40" i="4"/>
  <c r="F40" i="4"/>
  <c r="J39" i="4"/>
  <c r="I39" i="4"/>
  <c r="H39" i="4"/>
  <c r="G39" i="4"/>
  <c r="F39" i="4"/>
  <c r="J38" i="4"/>
  <c r="I38" i="4"/>
  <c r="H38" i="4"/>
  <c r="G38" i="4"/>
  <c r="F38" i="4"/>
  <c r="J37" i="4"/>
  <c r="I37" i="4"/>
  <c r="H37" i="4"/>
  <c r="G37" i="4"/>
  <c r="F37" i="4"/>
  <c r="J36" i="4"/>
  <c r="I36" i="4"/>
  <c r="H36" i="4"/>
  <c r="G36" i="4"/>
  <c r="F36" i="4"/>
  <c r="J35" i="4"/>
  <c r="I35" i="4"/>
  <c r="H35" i="4"/>
  <c r="G35" i="4"/>
  <c r="F35" i="4"/>
  <c r="J34" i="4"/>
  <c r="I34" i="4"/>
  <c r="H34" i="4"/>
  <c r="G34" i="4"/>
  <c r="F34" i="4"/>
  <c r="J29" i="4"/>
  <c r="I29" i="4"/>
  <c r="H29" i="4"/>
  <c r="F29" i="4"/>
  <c r="J28" i="4"/>
  <c r="I28" i="4"/>
  <c r="H28" i="4"/>
  <c r="F28" i="4"/>
  <c r="J27" i="4"/>
  <c r="I27" i="4"/>
  <c r="H27" i="4"/>
  <c r="F27" i="4"/>
  <c r="J26" i="4"/>
  <c r="I26" i="4"/>
  <c r="H26" i="4"/>
  <c r="F26" i="4"/>
  <c r="J25" i="4"/>
  <c r="I25" i="4"/>
  <c r="H25" i="4"/>
  <c r="F25" i="4"/>
  <c r="J24" i="4"/>
  <c r="I24" i="4"/>
  <c r="H24" i="4"/>
  <c r="F24" i="4"/>
  <c r="J23" i="4"/>
  <c r="I23" i="4"/>
  <c r="H23" i="4"/>
  <c r="F23" i="4"/>
  <c r="J22" i="4"/>
  <c r="I22" i="4"/>
  <c r="H22" i="4"/>
  <c r="F22" i="4"/>
  <c r="J21" i="4"/>
  <c r="I21" i="4"/>
  <c r="H21" i="4"/>
  <c r="F21" i="4"/>
  <c r="J20" i="4"/>
  <c r="I20" i="4"/>
  <c r="H20" i="4"/>
  <c r="F20" i="4"/>
  <c r="J18" i="4"/>
  <c r="I18" i="4"/>
  <c r="H18" i="4"/>
  <c r="F18" i="4"/>
  <c r="J17" i="4"/>
  <c r="I17" i="4"/>
  <c r="H17" i="4"/>
  <c r="F17" i="4"/>
  <c r="J16" i="4"/>
  <c r="I16" i="4"/>
  <c r="H16" i="4"/>
  <c r="F16" i="4"/>
  <c r="J15" i="4"/>
  <c r="I15" i="4"/>
  <c r="H15" i="4"/>
  <c r="F15" i="4"/>
  <c r="J14" i="4"/>
  <c r="I14" i="4"/>
  <c r="H14" i="4"/>
  <c r="F14" i="4"/>
  <c r="J13" i="4"/>
  <c r="I13" i="4"/>
  <c r="H13" i="4"/>
  <c r="F13" i="4"/>
  <c r="J12" i="4"/>
  <c r="I12" i="4"/>
  <c r="H12" i="4"/>
  <c r="F12" i="4"/>
  <c r="J11" i="4"/>
  <c r="I11" i="4"/>
  <c r="H11" i="4"/>
  <c r="F11" i="4"/>
  <c r="J10" i="4"/>
  <c r="I10" i="4"/>
  <c r="H10" i="4"/>
  <c r="F10" i="4"/>
  <c r="J57" i="2"/>
  <c r="H57" i="2"/>
  <c r="F57" i="2"/>
  <c r="J56" i="2"/>
  <c r="H56" i="2"/>
  <c r="F56" i="2"/>
  <c r="J55" i="2"/>
  <c r="H55" i="2"/>
  <c r="F55" i="2"/>
  <c r="J51" i="2"/>
  <c r="H51" i="2"/>
  <c r="F51" i="2"/>
  <c r="J50" i="2"/>
  <c r="H50" i="2"/>
  <c r="F50" i="2"/>
  <c r="J46" i="2"/>
  <c r="H46" i="2"/>
  <c r="F46" i="2"/>
  <c r="J45" i="2"/>
  <c r="H45" i="2"/>
  <c r="F45" i="2"/>
  <c r="J44" i="2"/>
  <c r="H44" i="2"/>
  <c r="F44" i="2"/>
  <c r="J43" i="2"/>
  <c r="H43" i="2"/>
  <c r="F43" i="2"/>
  <c r="J42" i="2"/>
  <c r="H42" i="2"/>
  <c r="F42" i="2"/>
  <c r="J38" i="2"/>
  <c r="H38" i="2"/>
  <c r="F38" i="2"/>
  <c r="J37" i="2"/>
  <c r="H37" i="2"/>
  <c r="F37" i="2"/>
  <c r="J36" i="2"/>
  <c r="H36" i="2"/>
  <c r="F36" i="2"/>
  <c r="J35" i="2"/>
  <c r="H35" i="2"/>
  <c r="F35" i="2"/>
  <c r="J34" i="2"/>
  <c r="H34" i="2"/>
  <c r="F34" i="2"/>
  <c r="J33" i="2"/>
  <c r="H33" i="2"/>
  <c r="F33" i="2"/>
  <c r="J29" i="2"/>
  <c r="H29" i="2"/>
  <c r="F29" i="2"/>
  <c r="J28" i="2"/>
  <c r="H28" i="2"/>
  <c r="F28" i="2"/>
  <c r="J27" i="2"/>
  <c r="H27" i="2"/>
  <c r="F27" i="2"/>
  <c r="J26" i="2"/>
  <c r="H26" i="2"/>
  <c r="F26" i="2"/>
  <c r="J25" i="2"/>
  <c r="H25" i="2"/>
  <c r="F25" i="2"/>
  <c r="J24" i="2"/>
  <c r="H24" i="2"/>
  <c r="F24" i="2"/>
  <c r="J23" i="2"/>
  <c r="H23" i="2"/>
  <c r="F23" i="2"/>
  <c r="J22" i="2"/>
  <c r="H22" i="2"/>
  <c r="F22" i="2"/>
  <c r="J21" i="2"/>
  <c r="H21" i="2"/>
  <c r="F21" i="2"/>
  <c r="J20" i="2"/>
  <c r="H20" i="2"/>
  <c r="F20" i="2"/>
  <c r="J19" i="2"/>
  <c r="H19" i="2"/>
  <c r="F19" i="2"/>
  <c r="J18" i="2"/>
  <c r="H18" i="2"/>
  <c r="F18" i="2"/>
  <c r="J17" i="2"/>
  <c r="H17" i="2"/>
  <c r="F17" i="2"/>
  <c r="J16" i="2"/>
  <c r="H16" i="2"/>
  <c r="F16" i="2"/>
  <c r="J12" i="2"/>
  <c r="J11" i="2"/>
  <c r="J10" i="2"/>
  <c r="H12" i="2"/>
  <c r="H11" i="2"/>
  <c r="H10" i="2"/>
  <c r="F12" i="2"/>
  <c r="F11" i="2"/>
  <c r="F10" i="2"/>
  <c r="F27" i="3" l="1"/>
  <c r="H27" i="3"/>
  <c r="J27" i="3"/>
  <c r="L51" i="3"/>
  <c r="F31" i="4"/>
  <c r="H31" i="4"/>
  <c r="N19" i="4"/>
  <c r="J31" i="4"/>
  <c r="N58" i="2"/>
  <c r="L30" i="4"/>
  <c r="N30" i="4" s="1"/>
  <c r="L10" i="2"/>
  <c r="N51" i="3"/>
  <c r="H28" i="3" l="1"/>
  <c r="L63" i="4"/>
  <c r="N63" i="4" s="1"/>
  <c r="L64" i="4"/>
  <c r="N64" i="4" s="1"/>
  <c r="L65" i="4"/>
  <c r="N65" i="4" s="1"/>
  <c r="L66" i="4"/>
  <c r="N66" i="4" s="1"/>
  <c r="L39" i="4"/>
  <c r="N39" i="4" s="1"/>
  <c r="L40" i="4"/>
  <c r="N40" i="4" s="1"/>
  <c r="L41" i="4"/>
  <c r="L28" i="4"/>
  <c r="N28" i="4" s="1"/>
  <c r="F25" i="5" l="1"/>
  <c r="L83" i="4" l="1"/>
  <c r="B6" i="2" l="1"/>
  <c r="B5" i="4" s="1"/>
  <c r="B5" i="3" s="1"/>
  <c r="A1" i="5" a="1"/>
  <c r="A1" i="5" s="1"/>
  <c r="A1" i="2" a="1"/>
  <c r="A1" i="2" s="1"/>
  <c r="A1" i="4" a="1"/>
  <c r="A1" i="4" s="1"/>
  <c r="A1" i="3" a="1"/>
  <c r="A1" i="3" s="1"/>
  <c r="E79" i="2" l="1" a="1"/>
  <c r="E79" i="2" s="1"/>
  <c r="E78" i="3" a="1"/>
  <c r="E78" i="3" s="1"/>
  <c r="E52" i="5" a="1"/>
  <c r="E52" i="5" s="1"/>
  <c r="L30" i="3" l="1"/>
  <c r="L27" i="3"/>
  <c r="L45" i="2"/>
  <c r="L46" i="2"/>
  <c r="L59" i="4" l="1"/>
  <c r="N59" i="4" s="1"/>
  <c r="L70" i="4"/>
  <c r="N70" i="4" s="1"/>
  <c r="H53" i="3"/>
  <c r="I26" i="8" l="1"/>
  <c r="G26" i="8"/>
  <c r="E26" i="8"/>
  <c r="K26" i="8" l="1"/>
  <c r="M26" i="8" s="1"/>
  <c r="L9" i="3"/>
  <c r="N9" i="3" s="1"/>
  <c r="H51" i="4" l="1"/>
  <c r="H26" i="5" s="1"/>
  <c r="J51" i="4"/>
  <c r="J26" i="5" s="1"/>
  <c r="I10" i="9" l="1"/>
  <c r="G10" i="9"/>
  <c r="E10" i="9"/>
  <c r="L11" i="4"/>
  <c r="N11" i="4" s="1"/>
  <c r="K10" i="9" l="1"/>
  <c r="M10" i="9" s="1"/>
  <c r="I59" i="10"/>
  <c r="I58" i="10"/>
  <c r="G59" i="10"/>
  <c r="G58" i="10"/>
  <c r="G57" i="10"/>
  <c r="E59" i="10"/>
  <c r="E58" i="10"/>
  <c r="E57" i="10"/>
  <c r="I50" i="10"/>
  <c r="I49" i="10"/>
  <c r="I48" i="10"/>
  <c r="I47" i="10"/>
  <c r="I46" i="10"/>
  <c r="I45" i="10"/>
  <c r="G50" i="10"/>
  <c r="G49" i="10"/>
  <c r="G47" i="10"/>
  <c r="G46" i="10"/>
  <c r="G45" i="10"/>
  <c r="E50" i="10"/>
  <c r="E49" i="10"/>
  <c r="E47" i="10"/>
  <c r="E46" i="10"/>
  <c r="E45" i="10"/>
  <c r="F53" i="3"/>
  <c r="L46" i="3"/>
  <c r="L48" i="3"/>
  <c r="N48" i="3" s="1"/>
  <c r="L52" i="3"/>
  <c r="N52" i="3" s="1"/>
  <c r="J53" i="3"/>
  <c r="L61" i="3"/>
  <c r="N61" i="3" s="1"/>
  <c r="L62" i="3"/>
  <c r="N62" i="3" s="1"/>
  <c r="L64" i="3"/>
  <c r="N64" i="3" s="1"/>
  <c r="N46" i="3" l="1"/>
  <c r="K58" i="10"/>
  <c r="M58" i="10" s="1"/>
  <c r="E48" i="10"/>
  <c r="L47" i="3"/>
  <c r="N47" i="3" s="1"/>
  <c r="L50" i="3"/>
  <c r="N50" i="3" s="1"/>
  <c r="I74" i="9"/>
  <c r="I75" i="9"/>
  <c r="I76" i="9"/>
  <c r="I77" i="9"/>
  <c r="I78" i="9"/>
  <c r="I79" i="9"/>
  <c r="I80" i="9"/>
  <c r="I81" i="9"/>
  <c r="G74" i="9"/>
  <c r="G75" i="9"/>
  <c r="G76" i="9"/>
  <c r="G77" i="9"/>
  <c r="G78" i="9"/>
  <c r="G79" i="9"/>
  <c r="G80" i="9"/>
  <c r="G81" i="9"/>
  <c r="E74" i="9"/>
  <c r="E75" i="9"/>
  <c r="E76" i="9"/>
  <c r="E77" i="9"/>
  <c r="E78" i="9"/>
  <c r="E79" i="9"/>
  <c r="E80" i="9"/>
  <c r="E81" i="9"/>
  <c r="L90" i="4"/>
  <c r="N90" i="4" s="1"/>
  <c r="K78" i="9" l="1"/>
  <c r="M78" i="9" s="1"/>
  <c r="K77" i="9"/>
  <c r="M77" i="9" s="1"/>
  <c r="K80" i="9"/>
  <c r="M80" i="9" s="1"/>
  <c r="K81" i="9"/>
  <c r="M81" i="9" s="1"/>
  <c r="K75" i="9"/>
  <c r="M75" i="9" s="1"/>
  <c r="K79" i="9"/>
  <c r="M79" i="9" s="1"/>
  <c r="K74" i="9"/>
  <c r="M74" i="9" s="1"/>
  <c r="K76" i="9"/>
  <c r="M76" i="9" s="1"/>
  <c r="L49" i="3"/>
  <c r="N49" i="3" s="1"/>
  <c r="G48" i="10"/>
  <c r="I8" i="10"/>
  <c r="G22" i="10"/>
  <c r="G23" i="10"/>
  <c r="G26" i="10"/>
  <c r="G29" i="10"/>
  <c r="I21" i="10"/>
  <c r="I22" i="10"/>
  <c r="I23" i="10"/>
  <c r="I26" i="10"/>
  <c r="I29" i="10"/>
  <c r="I9" i="10"/>
  <c r="L53" i="3" l="1"/>
  <c r="N53" i="3" s="1"/>
  <c r="L17" i="2"/>
  <c r="N17" i="2" s="1"/>
  <c r="L18" i="2"/>
  <c r="N18" i="2" s="1"/>
  <c r="L19" i="2"/>
  <c r="N19" i="2" s="1"/>
  <c r="L20" i="2"/>
  <c r="N20" i="2" s="1"/>
  <c r="L21" i="2"/>
  <c r="N21" i="2" s="1"/>
  <c r="L22" i="2"/>
  <c r="N22" i="2" s="1"/>
  <c r="L23" i="2"/>
  <c r="N23" i="2" s="1"/>
  <c r="L24" i="2"/>
  <c r="N24" i="2" s="1"/>
  <c r="L25" i="2"/>
  <c r="N25" i="2" s="1"/>
  <c r="L26" i="2"/>
  <c r="N26" i="2" s="1"/>
  <c r="L27" i="2"/>
  <c r="N27" i="2" s="1"/>
  <c r="L28" i="2"/>
  <c r="N28" i="2" s="1"/>
  <c r="L29" i="2"/>
  <c r="N29" i="2" s="1"/>
  <c r="G24" i="7" l="1"/>
  <c r="L65" i="3" l="1"/>
  <c r="N65" i="3" s="1"/>
  <c r="L61" i="4" l="1"/>
  <c r="N61" i="4" s="1"/>
  <c r="I55" i="9"/>
  <c r="I56" i="9"/>
  <c r="E55" i="9"/>
  <c r="G55" i="9"/>
  <c r="G56" i="9"/>
  <c r="E56" i="9"/>
  <c r="K56" i="9" l="1"/>
  <c r="M56" i="9" s="1"/>
  <c r="K55" i="9"/>
  <c r="M55" i="9" s="1"/>
  <c r="H25" i="5" l="1"/>
  <c r="G23" i="7" s="1"/>
  <c r="J25" i="5"/>
  <c r="H80" i="4" l="1"/>
  <c r="H27" i="5" s="1"/>
  <c r="G25" i="7" s="1"/>
  <c r="J80" i="4"/>
  <c r="J27" i="5" s="1"/>
  <c r="L85" i="4" l="1"/>
  <c r="N85" i="4" s="1"/>
  <c r="F92" i="4"/>
  <c r="F28" i="5" s="1"/>
  <c r="H92" i="4"/>
  <c r="H28" i="5" s="1"/>
  <c r="G26" i="7" s="1"/>
  <c r="J92" i="4"/>
  <c r="J28" i="5" s="1"/>
  <c r="I44" i="9"/>
  <c r="G44" i="9"/>
  <c r="E44" i="9"/>
  <c r="L49" i="4"/>
  <c r="N49" i="4" s="1"/>
  <c r="K44" i="9" l="1"/>
  <c r="M44" i="9" s="1"/>
  <c r="K49" i="10"/>
  <c r="M49" i="10" s="1"/>
  <c r="F47" i="2"/>
  <c r="F14" i="5" s="1"/>
  <c r="H47" i="2"/>
  <c r="H14" i="5" s="1"/>
  <c r="J47" i="2"/>
  <c r="J14" i="5" s="1"/>
  <c r="I26" i="7" l="1"/>
  <c r="F51" i="4"/>
  <c r="F26" i="5" s="1"/>
  <c r="F80" i="4"/>
  <c r="F27" i="5" s="1"/>
  <c r="K50" i="10" l="1"/>
  <c r="M50" i="10" s="1"/>
  <c r="K48" i="10"/>
  <c r="M48" i="10" s="1"/>
  <c r="E23" i="6" l="1"/>
  <c r="G23" i="6"/>
  <c r="I23" i="6"/>
  <c r="K22" i="6"/>
  <c r="M22" i="6" s="1"/>
  <c r="K21" i="6"/>
  <c r="M21" i="6" s="1"/>
  <c r="K20" i="6"/>
  <c r="M20" i="6" s="1"/>
  <c r="K23" i="6" l="1"/>
  <c r="M23" i="6" s="1"/>
  <c r="L15" i="3" l="1"/>
  <c r="N15" i="3" s="1"/>
  <c r="I12" i="10"/>
  <c r="E9" i="10"/>
  <c r="L28" i="5"/>
  <c r="N28" i="5" s="1"/>
  <c r="E29" i="10"/>
  <c r="G14" i="10"/>
  <c r="G9" i="10"/>
  <c r="E14" i="10"/>
  <c r="E11" i="10"/>
  <c r="E10" i="10"/>
  <c r="I73" i="9"/>
  <c r="G73" i="9"/>
  <c r="E73" i="9"/>
  <c r="L91" i="4"/>
  <c r="N91" i="4" s="1"/>
  <c r="L89" i="4"/>
  <c r="N89" i="4" s="1"/>
  <c r="L88" i="4"/>
  <c r="N88" i="4" s="1"/>
  <c r="L87" i="4"/>
  <c r="N87" i="4" s="1"/>
  <c r="L86" i="4"/>
  <c r="N86" i="4" s="1"/>
  <c r="L84" i="4"/>
  <c r="N84" i="4" s="1"/>
  <c r="N83" i="4"/>
  <c r="I25" i="7"/>
  <c r="E25" i="7"/>
  <c r="I24" i="7"/>
  <c r="I23" i="7"/>
  <c r="E23" i="7"/>
  <c r="J60" i="2"/>
  <c r="J16" i="5" s="1"/>
  <c r="H60" i="2"/>
  <c r="H16" i="5" s="1"/>
  <c r="F60" i="2"/>
  <c r="F16" i="5" s="1"/>
  <c r="E14" i="7" s="1"/>
  <c r="J52" i="2"/>
  <c r="J15" i="5" s="1"/>
  <c r="H52" i="2"/>
  <c r="H15" i="5" s="1"/>
  <c r="G13" i="7" s="1"/>
  <c r="F52" i="2"/>
  <c r="F15" i="5" s="1"/>
  <c r="J39" i="2"/>
  <c r="J13" i="5" s="1"/>
  <c r="L13" i="5" s="1"/>
  <c r="N13" i="5" s="1"/>
  <c r="H39" i="2"/>
  <c r="H13" i="5" s="1"/>
  <c r="F39" i="2"/>
  <c r="F13" i="5" s="1"/>
  <c r="E11" i="7" s="1"/>
  <c r="J30" i="2"/>
  <c r="J12" i="5" s="1"/>
  <c r="I10" i="7" s="1"/>
  <c r="H30" i="2"/>
  <c r="H12" i="5" s="1"/>
  <c r="G10" i="7" s="1"/>
  <c r="F30" i="2"/>
  <c r="F12" i="5" s="1"/>
  <c r="E10" i="7" s="1"/>
  <c r="J13" i="2"/>
  <c r="H13" i="2"/>
  <c r="F13" i="2"/>
  <c r="Q5" i="8"/>
  <c r="I22" i="9"/>
  <c r="G22" i="9"/>
  <c r="E22" i="9"/>
  <c r="I21" i="9"/>
  <c r="G21" i="9"/>
  <c r="E21" i="9"/>
  <c r="I20" i="9"/>
  <c r="G20" i="9"/>
  <c r="E20" i="9"/>
  <c r="I19" i="9"/>
  <c r="G19" i="9"/>
  <c r="E19" i="9"/>
  <c r="L23" i="4"/>
  <c r="N23" i="4" s="1"/>
  <c r="L21" i="4"/>
  <c r="N21" i="4" s="1"/>
  <c r="I39" i="9"/>
  <c r="I40" i="9"/>
  <c r="I41" i="9"/>
  <c r="I42" i="9"/>
  <c r="I43" i="9"/>
  <c r="G39" i="9"/>
  <c r="G40" i="9"/>
  <c r="G41" i="9"/>
  <c r="G42" i="9"/>
  <c r="G43" i="9"/>
  <c r="E39" i="9"/>
  <c r="E40" i="9"/>
  <c r="E41" i="9"/>
  <c r="E42" i="9"/>
  <c r="E43" i="9"/>
  <c r="L48" i="4"/>
  <c r="N48" i="4" s="1"/>
  <c r="L44" i="4"/>
  <c r="N44" i="4" s="1"/>
  <c r="I43" i="8"/>
  <c r="I42" i="8"/>
  <c r="G44" i="8"/>
  <c r="G43" i="8"/>
  <c r="G42" i="8"/>
  <c r="E43" i="8"/>
  <c r="E42" i="8"/>
  <c r="E31" i="8"/>
  <c r="E32" i="8"/>
  <c r="E33" i="8"/>
  <c r="E34" i="8"/>
  <c r="E35" i="8"/>
  <c r="E36" i="8"/>
  <c r="E37" i="8"/>
  <c r="E41" i="8"/>
  <c r="I11" i="10"/>
  <c r="L44" i="2"/>
  <c r="N44" i="2" s="1"/>
  <c r="L43" i="2"/>
  <c r="N43" i="2" s="1"/>
  <c r="I11" i="6"/>
  <c r="I10" i="6"/>
  <c r="G10" i="6"/>
  <c r="G11" i="6"/>
  <c r="E11" i="6"/>
  <c r="E10" i="6"/>
  <c r="I9" i="6"/>
  <c r="G9" i="6"/>
  <c r="E9" i="6"/>
  <c r="G21" i="10"/>
  <c r="E23" i="10"/>
  <c r="E22" i="10"/>
  <c r="E21" i="10"/>
  <c r="I15" i="10"/>
  <c r="I14" i="10"/>
  <c r="I13" i="10"/>
  <c r="I10" i="10"/>
  <c r="G15" i="10"/>
  <c r="G13" i="10"/>
  <c r="G12" i="10"/>
  <c r="G10" i="10"/>
  <c r="G8" i="10"/>
  <c r="E12" i="10"/>
  <c r="E13" i="10"/>
  <c r="E15" i="10"/>
  <c r="E8" i="10"/>
  <c r="I51" i="9"/>
  <c r="I52" i="9"/>
  <c r="I53" i="9"/>
  <c r="I54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G51" i="9"/>
  <c r="G52" i="9"/>
  <c r="G53" i="9"/>
  <c r="G54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E51" i="9"/>
  <c r="E52" i="9"/>
  <c r="E53" i="9"/>
  <c r="E54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I50" i="9"/>
  <c r="I49" i="9"/>
  <c r="G50" i="9"/>
  <c r="G49" i="9"/>
  <c r="E50" i="9"/>
  <c r="E49" i="9"/>
  <c r="I32" i="9"/>
  <c r="I33" i="9"/>
  <c r="I34" i="9"/>
  <c r="I35" i="9"/>
  <c r="I36" i="9"/>
  <c r="I37" i="9"/>
  <c r="I38" i="9"/>
  <c r="I45" i="9"/>
  <c r="G32" i="9"/>
  <c r="G33" i="9"/>
  <c r="G34" i="9"/>
  <c r="G35" i="9"/>
  <c r="G36" i="9"/>
  <c r="G37" i="9"/>
  <c r="G38" i="9"/>
  <c r="G45" i="9"/>
  <c r="E32" i="9"/>
  <c r="E33" i="9"/>
  <c r="E34" i="9"/>
  <c r="E35" i="9"/>
  <c r="E36" i="9"/>
  <c r="E37" i="9"/>
  <c r="E38" i="9"/>
  <c r="E45" i="9"/>
  <c r="I31" i="9"/>
  <c r="G31" i="9"/>
  <c r="E31" i="9"/>
  <c r="I30" i="9"/>
  <c r="G30" i="9"/>
  <c r="E30" i="9"/>
  <c r="I12" i="9"/>
  <c r="I13" i="9"/>
  <c r="I14" i="9"/>
  <c r="I15" i="9"/>
  <c r="I16" i="9"/>
  <c r="I17" i="9"/>
  <c r="I18" i="9"/>
  <c r="I23" i="9"/>
  <c r="I24" i="9"/>
  <c r="I25" i="9"/>
  <c r="I26" i="9"/>
  <c r="G12" i="9"/>
  <c r="G13" i="9"/>
  <c r="G14" i="9"/>
  <c r="G15" i="9"/>
  <c r="G16" i="9"/>
  <c r="G17" i="9"/>
  <c r="G18" i="9"/>
  <c r="G23" i="9"/>
  <c r="G24" i="9"/>
  <c r="G25" i="9"/>
  <c r="G26" i="9"/>
  <c r="E12" i="9"/>
  <c r="E13" i="9"/>
  <c r="E14" i="9"/>
  <c r="E15" i="9"/>
  <c r="E16" i="9"/>
  <c r="E17" i="9"/>
  <c r="E18" i="9"/>
  <c r="E23" i="9"/>
  <c r="E24" i="9"/>
  <c r="E25" i="9"/>
  <c r="E26" i="9"/>
  <c r="I11" i="9"/>
  <c r="G11" i="9"/>
  <c r="E11" i="9"/>
  <c r="I9" i="9"/>
  <c r="G9" i="9"/>
  <c r="E9" i="9"/>
  <c r="I56" i="8"/>
  <c r="I57" i="8"/>
  <c r="G56" i="8"/>
  <c r="G57" i="8"/>
  <c r="E56" i="8"/>
  <c r="E57" i="8"/>
  <c r="I55" i="8"/>
  <c r="G55" i="8"/>
  <c r="E55" i="8"/>
  <c r="I54" i="8"/>
  <c r="G54" i="8"/>
  <c r="E54" i="8"/>
  <c r="I50" i="8"/>
  <c r="G50" i="8"/>
  <c r="E50" i="8"/>
  <c r="I49" i="8"/>
  <c r="G49" i="8"/>
  <c r="E49" i="8"/>
  <c r="I45" i="8"/>
  <c r="I44" i="8"/>
  <c r="I41" i="8"/>
  <c r="G45" i="8"/>
  <c r="G41" i="8"/>
  <c r="E45" i="8"/>
  <c r="E44" i="8"/>
  <c r="I37" i="8"/>
  <c r="I36" i="8"/>
  <c r="I35" i="8"/>
  <c r="I34" i="8"/>
  <c r="I33" i="8"/>
  <c r="I32" i="8"/>
  <c r="I31" i="8"/>
  <c r="G37" i="8"/>
  <c r="G36" i="8"/>
  <c r="G35" i="8"/>
  <c r="G34" i="8"/>
  <c r="G33" i="8"/>
  <c r="G32" i="8"/>
  <c r="G31" i="8"/>
  <c r="I27" i="8"/>
  <c r="I25" i="8"/>
  <c r="G25" i="8"/>
  <c r="I24" i="8"/>
  <c r="I23" i="8"/>
  <c r="I22" i="8"/>
  <c r="I21" i="8"/>
  <c r="I20" i="8"/>
  <c r="I19" i="8"/>
  <c r="I18" i="8"/>
  <c r="G18" i="8"/>
  <c r="I17" i="8"/>
  <c r="I16" i="8"/>
  <c r="I15" i="8"/>
  <c r="G15" i="8"/>
  <c r="I14" i="8"/>
  <c r="G27" i="8"/>
  <c r="G24" i="8"/>
  <c r="G23" i="8"/>
  <c r="G22" i="8"/>
  <c r="G21" i="8"/>
  <c r="G20" i="8"/>
  <c r="G19" i="8"/>
  <c r="G17" i="8"/>
  <c r="G16" i="8"/>
  <c r="G14" i="8"/>
  <c r="E16" i="8"/>
  <c r="E17" i="8"/>
  <c r="E18" i="8"/>
  <c r="E19" i="8"/>
  <c r="E20" i="8"/>
  <c r="E21" i="8"/>
  <c r="E22" i="8"/>
  <c r="E23" i="8"/>
  <c r="E24" i="8"/>
  <c r="E25" i="8"/>
  <c r="E27" i="8"/>
  <c r="E15" i="8"/>
  <c r="E14" i="8"/>
  <c r="I10" i="8"/>
  <c r="I8" i="8"/>
  <c r="I9" i="8"/>
  <c r="G10" i="8"/>
  <c r="G9" i="8"/>
  <c r="G8" i="8"/>
  <c r="E10" i="8"/>
  <c r="E9" i="8"/>
  <c r="E8" i="8"/>
  <c r="O6" i="8"/>
  <c r="O6" i="9" s="1"/>
  <c r="O6" i="10" s="1"/>
  <c r="O18" i="10" s="1"/>
  <c r="O43" i="10" s="1"/>
  <c r="O53" i="10" s="1"/>
  <c r="O21" i="7"/>
  <c r="A3" i="7"/>
  <c r="A4" i="6"/>
  <c r="L47" i="4"/>
  <c r="N47" i="4" s="1"/>
  <c r="L46" i="4"/>
  <c r="N46" i="4" s="1"/>
  <c r="E24" i="7"/>
  <c r="L38" i="2"/>
  <c r="N38" i="2" s="1"/>
  <c r="L37" i="2"/>
  <c r="N37" i="2" s="1"/>
  <c r="L79" i="4"/>
  <c r="N79" i="4" s="1"/>
  <c r="L78" i="4"/>
  <c r="N78" i="4" s="1"/>
  <c r="L77" i="4"/>
  <c r="N77" i="4" s="1"/>
  <c r="L76" i="4"/>
  <c r="N76" i="4" s="1"/>
  <c r="L75" i="4"/>
  <c r="N75" i="4" s="1"/>
  <c r="L74" i="4"/>
  <c r="N74" i="4" s="1"/>
  <c r="L73" i="4"/>
  <c r="N73" i="4" s="1"/>
  <c r="L72" i="4"/>
  <c r="N72" i="4" s="1"/>
  <c r="L69" i="4"/>
  <c r="N69" i="4" s="1"/>
  <c r="L68" i="4"/>
  <c r="N68" i="4" s="1"/>
  <c r="L67" i="4"/>
  <c r="N67" i="4" s="1"/>
  <c r="L62" i="4"/>
  <c r="N62" i="4" s="1"/>
  <c r="L60" i="4"/>
  <c r="N60" i="4" s="1"/>
  <c r="L58" i="4"/>
  <c r="N58" i="4" s="1"/>
  <c r="L57" i="4"/>
  <c r="N57" i="4" s="1"/>
  <c r="L56" i="4"/>
  <c r="N56" i="4" s="1"/>
  <c r="L55" i="4"/>
  <c r="N55" i="4" s="1"/>
  <c r="L54" i="4"/>
  <c r="N54" i="4" s="1"/>
  <c r="L50" i="4"/>
  <c r="N50" i="4" s="1"/>
  <c r="L45" i="4"/>
  <c r="N45" i="4" s="1"/>
  <c r="L43" i="4"/>
  <c r="N43" i="4" s="1"/>
  <c r="L42" i="4"/>
  <c r="N42" i="4" s="1"/>
  <c r="N41" i="4"/>
  <c r="L38" i="4"/>
  <c r="N38" i="4" s="1"/>
  <c r="L37" i="4"/>
  <c r="N37" i="4" s="1"/>
  <c r="L36" i="4"/>
  <c r="N36" i="4" s="1"/>
  <c r="L35" i="4"/>
  <c r="N35" i="4" s="1"/>
  <c r="L34" i="4"/>
  <c r="N34" i="4" s="1"/>
  <c r="L29" i="4"/>
  <c r="N29" i="4" s="1"/>
  <c r="L27" i="4"/>
  <c r="N27" i="4" s="1"/>
  <c r="L26" i="4"/>
  <c r="N26" i="4" s="1"/>
  <c r="L25" i="4"/>
  <c r="N25" i="4" s="1"/>
  <c r="L24" i="4"/>
  <c r="N24" i="4" s="1"/>
  <c r="L22" i="4"/>
  <c r="N22" i="4" s="1"/>
  <c r="L20" i="4"/>
  <c r="N20" i="4" s="1"/>
  <c r="L18" i="4"/>
  <c r="N18" i="4" s="1"/>
  <c r="L17" i="4"/>
  <c r="N17" i="4" s="1"/>
  <c r="L16" i="4"/>
  <c r="N16" i="4" s="1"/>
  <c r="L15" i="4"/>
  <c r="N15" i="4" s="1"/>
  <c r="L14" i="4"/>
  <c r="N14" i="4" s="1"/>
  <c r="L13" i="4"/>
  <c r="N13" i="4" s="1"/>
  <c r="L12" i="4"/>
  <c r="N12" i="4" s="1"/>
  <c r="L10" i="4"/>
  <c r="N10" i="2"/>
  <c r="L11" i="2"/>
  <c r="N11" i="2" s="1"/>
  <c r="L57" i="2"/>
  <c r="N57" i="2" s="1"/>
  <c r="L56" i="2"/>
  <c r="N56" i="2" s="1"/>
  <c r="L55" i="2"/>
  <c r="N55" i="2" s="1"/>
  <c r="L51" i="2"/>
  <c r="N51" i="2" s="1"/>
  <c r="L50" i="2"/>
  <c r="N50" i="2" s="1"/>
  <c r="N46" i="2"/>
  <c r="N45" i="2"/>
  <c r="L42" i="2"/>
  <c r="N42" i="2" s="1"/>
  <c r="L36" i="2"/>
  <c r="N36" i="2" s="1"/>
  <c r="L35" i="2"/>
  <c r="N35" i="2" s="1"/>
  <c r="L34" i="2"/>
  <c r="N34" i="2" s="1"/>
  <c r="L33" i="2"/>
  <c r="N33" i="2" s="1"/>
  <c r="L16" i="2"/>
  <c r="N16" i="2" s="1"/>
  <c r="L12" i="2"/>
  <c r="N12" i="2" s="1"/>
  <c r="L16" i="3"/>
  <c r="N16" i="3" s="1"/>
  <c r="N27" i="3"/>
  <c r="L26" i="3"/>
  <c r="N26" i="3" s="1"/>
  <c r="L25" i="3"/>
  <c r="N25" i="3" s="1"/>
  <c r="L14" i="3"/>
  <c r="N14" i="3" s="1"/>
  <c r="L11" i="3"/>
  <c r="N11" i="3" s="1"/>
  <c r="I12" i="7"/>
  <c r="E12" i="7"/>
  <c r="J28" i="3"/>
  <c r="J35" i="3" s="1"/>
  <c r="F28" i="3"/>
  <c r="N30" i="3"/>
  <c r="L13" i="3"/>
  <c r="N13" i="3" s="1"/>
  <c r="L12" i="3"/>
  <c r="N12" i="3" s="1"/>
  <c r="L27" i="5"/>
  <c r="N27" i="5" s="1"/>
  <c r="O24" i="7"/>
  <c r="L26" i="5"/>
  <c r="N26" i="5" s="1"/>
  <c r="L25" i="5"/>
  <c r="N25" i="5" s="1"/>
  <c r="G11" i="7"/>
  <c r="O11" i="7" s="1"/>
  <c r="G12" i="7"/>
  <c r="L14" i="5"/>
  <c r="N14" i="5" s="1"/>
  <c r="J29" i="5"/>
  <c r="E26" i="7"/>
  <c r="F29" i="5"/>
  <c r="K26" i="7"/>
  <c r="M26" i="7" s="1"/>
  <c r="H29" i="5"/>
  <c r="N10" i="4" l="1"/>
  <c r="L31" i="4"/>
  <c r="F11" i="5"/>
  <c r="E9" i="7" s="1"/>
  <c r="P13" i="2"/>
  <c r="H11" i="5"/>
  <c r="G9" i="7" s="1"/>
  <c r="O9" i="7" s="1"/>
  <c r="Q13" i="2"/>
  <c r="J11" i="5"/>
  <c r="I9" i="7" s="1"/>
  <c r="R13" i="2"/>
  <c r="L15" i="5"/>
  <c r="N15" i="5" s="1"/>
  <c r="I11" i="7"/>
  <c r="K11" i="7" s="1"/>
  <c r="M11" i="7" s="1"/>
  <c r="F17" i="5"/>
  <c r="I13" i="7"/>
  <c r="K13" i="7" s="1"/>
  <c r="M13" i="7" s="1"/>
  <c r="E13" i="7"/>
  <c r="E15" i="7" s="1"/>
  <c r="L12" i="5"/>
  <c r="N12" i="5" s="1"/>
  <c r="J17" i="5"/>
  <c r="L11" i="5"/>
  <c r="N11" i="5" s="1"/>
  <c r="L16" i="5"/>
  <c r="N16" i="5" s="1"/>
  <c r="I14" i="7"/>
  <c r="G14" i="7"/>
  <c r="O14" i="7" s="1"/>
  <c r="Q33" i="8"/>
  <c r="O13" i="7"/>
  <c r="O10" i="7"/>
  <c r="Q10" i="7" s="1"/>
  <c r="Q5" i="9"/>
  <c r="O80" i="9" s="1"/>
  <c r="Q80" i="9" s="1"/>
  <c r="O26" i="8"/>
  <c r="Q26" i="8" s="1"/>
  <c r="F62" i="2"/>
  <c r="H62" i="2"/>
  <c r="J62" i="2"/>
  <c r="K56" i="10"/>
  <c r="M56" i="10" s="1"/>
  <c r="O56" i="9"/>
  <c r="Q56" i="9" s="1"/>
  <c r="O55" i="9"/>
  <c r="Q55" i="9" s="1"/>
  <c r="K35" i="8"/>
  <c r="M35" i="8" s="1"/>
  <c r="K33" i="8"/>
  <c r="M33" i="8" s="1"/>
  <c r="E82" i="9"/>
  <c r="K23" i="7"/>
  <c r="M23" i="7" s="1"/>
  <c r="K22" i="10"/>
  <c r="M22" i="10" s="1"/>
  <c r="K41" i="9"/>
  <c r="M41" i="9" s="1"/>
  <c r="K13" i="9"/>
  <c r="M13" i="9" s="1"/>
  <c r="K20" i="9"/>
  <c r="M20" i="9" s="1"/>
  <c r="K13" i="10"/>
  <c r="M13" i="10" s="1"/>
  <c r="K9" i="6"/>
  <c r="M9" i="6" s="1"/>
  <c r="K64" i="9"/>
  <c r="M64" i="9" s="1"/>
  <c r="K51" i="9"/>
  <c r="M51" i="9" s="1"/>
  <c r="K67" i="9"/>
  <c r="M67" i="9" s="1"/>
  <c r="K59" i="9"/>
  <c r="M59" i="9" s="1"/>
  <c r="K54" i="9"/>
  <c r="M54" i="9" s="1"/>
  <c r="K12" i="9"/>
  <c r="M12" i="9" s="1"/>
  <c r="K21" i="9"/>
  <c r="M21" i="9" s="1"/>
  <c r="Q24" i="7"/>
  <c r="K60" i="9"/>
  <c r="M60" i="9" s="1"/>
  <c r="K68" i="9"/>
  <c r="M68" i="9" s="1"/>
  <c r="K43" i="9"/>
  <c r="M43" i="9" s="1"/>
  <c r="K39" i="9"/>
  <c r="M39" i="9" s="1"/>
  <c r="J94" i="4"/>
  <c r="K31" i="9"/>
  <c r="M31" i="9" s="1"/>
  <c r="K25" i="7"/>
  <c r="M25" i="7" s="1"/>
  <c r="O21" i="8"/>
  <c r="Q21" i="8" s="1"/>
  <c r="O14" i="8"/>
  <c r="Q14" i="8" s="1"/>
  <c r="O20" i="8"/>
  <c r="Q20" i="8" s="1"/>
  <c r="O24" i="8"/>
  <c r="Q24" i="8" s="1"/>
  <c r="O31" i="8"/>
  <c r="Q31" i="8" s="1"/>
  <c r="O49" i="8"/>
  <c r="Q49" i="8" s="1"/>
  <c r="O55" i="8"/>
  <c r="Q55" i="8" s="1"/>
  <c r="K57" i="8"/>
  <c r="M57" i="8" s="1"/>
  <c r="K42" i="8"/>
  <c r="M42" i="8" s="1"/>
  <c r="K23" i="8"/>
  <c r="M23" i="8" s="1"/>
  <c r="K12" i="7"/>
  <c r="M12" i="7" s="1"/>
  <c r="K66" i="9"/>
  <c r="M66" i="9" s="1"/>
  <c r="K62" i="9"/>
  <c r="M62" i="9" s="1"/>
  <c r="K58" i="9"/>
  <c r="M58" i="9" s="1"/>
  <c r="K53" i="9"/>
  <c r="M53" i="9" s="1"/>
  <c r="K73" i="9"/>
  <c r="M73" i="9" s="1"/>
  <c r="K69" i="9"/>
  <c r="M69" i="9" s="1"/>
  <c r="K61" i="9"/>
  <c r="M61" i="9" s="1"/>
  <c r="K52" i="9"/>
  <c r="M52" i="9" s="1"/>
  <c r="K38" i="9"/>
  <c r="M38" i="9" s="1"/>
  <c r="K9" i="9"/>
  <c r="M9" i="9" s="1"/>
  <c r="K14" i="9"/>
  <c r="M14" i="9" s="1"/>
  <c r="K17" i="9"/>
  <c r="M17" i="9" s="1"/>
  <c r="O43" i="8"/>
  <c r="Q43" i="8" s="1"/>
  <c r="O44" i="8"/>
  <c r="Q44" i="8" s="1"/>
  <c r="K65" i="9"/>
  <c r="M65" i="9" s="1"/>
  <c r="K42" i="9"/>
  <c r="M42" i="9" s="1"/>
  <c r="K36" i="9"/>
  <c r="M36" i="9" s="1"/>
  <c r="L92" i="4"/>
  <c r="N92" i="4" s="1"/>
  <c r="K30" i="9"/>
  <c r="M30" i="9" s="1"/>
  <c r="K26" i="9"/>
  <c r="M26" i="9" s="1"/>
  <c r="K18" i="9"/>
  <c r="M18" i="9" s="1"/>
  <c r="K23" i="9"/>
  <c r="M23" i="9" s="1"/>
  <c r="O12" i="7"/>
  <c r="Q12" i="7" s="1"/>
  <c r="O35" i="8"/>
  <c r="Q35" i="8" s="1"/>
  <c r="O50" i="8"/>
  <c r="Q50" i="8" s="1"/>
  <c r="O16" i="8"/>
  <c r="Q16" i="8" s="1"/>
  <c r="O18" i="8"/>
  <c r="Q18" i="8" s="1"/>
  <c r="O36" i="8"/>
  <c r="Q36" i="8" s="1"/>
  <c r="O56" i="8"/>
  <c r="Q56" i="8" s="1"/>
  <c r="O41" i="8"/>
  <c r="Q41" i="8" s="1"/>
  <c r="O27" i="8"/>
  <c r="Q27" i="8" s="1"/>
  <c r="O34" i="8"/>
  <c r="Q34" i="8" s="1"/>
  <c r="O8" i="8"/>
  <c r="Q8" i="8" s="1"/>
  <c r="O17" i="8"/>
  <c r="Q17" i="8" s="1"/>
  <c r="O22" i="8"/>
  <c r="Q22" i="8" s="1"/>
  <c r="O33" i="8"/>
  <c r="O32" i="8"/>
  <c r="Q32" i="8" s="1"/>
  <c r="O54" i="8"/>
  <c r="Q54" i="8" s="1"/>
  <c r="O37" i="8"/>
  <c r="Q37" i="8" s="1"/>
  <c r="O9" i="8"/>
  <c r="Q9" i="8" s="1"/>
  <c r="O19" i="8"/>
  <c r="Q19" i="8" s="1"/>
  <c r="O23" i="8"/>
  <c r="Q23" i="8" s="1"/>
  <c r="K19" i="8"/>
  <c r="M19" i="8" s="1"/>
  <c r="O25" i="8"/>
  <c r="Q25" i="8" s="1"/>
  <c r="K27" i="8"/>
  <c r="M27" i="8" s="1"/>
  <c r="K21" i="8"/>
  <c r="M21" i="8" s="1"/>
  <c r="K55" i="8"/>
  <c r="M55" i="8" s="1"/>
  <c r="K10" i="8"/>
  <c r="M10" i="8" s="1"/>
  <c r="I12" i="6"/>
  <c r="K9" i="8"/>
  <c r="M9" i="8" s="1"/>
  <c r="K26" i="10"/>
  <c r="M26" i="10" s="1"/>
  <c r="K10" i="10"/>
  <c r="M10" i="10" s="1"/>
  <c r="K8" i="10"/>
  <c r="M8" i="10" s="1"/>
  <c r="K45" i="10"/>
  <c r="M45" i="10" s="1"/>
  <c r="K8" i="8"/>
  <c r="M8" i="8" s="1"/>
  <c r="K63" i="9"/>
  <c r="M63" i="9" s="1"/>
  <c r="K57" i="9"/>
  <c r="M57" i="9" s="1"/>
  <c r="I70" i="9"/>
  <c r="G70" i="9"/>
  <c r="K49" i="9"/>
  <c r="M49" i="9" s="1"/>
  <c r="E70" i="9"/>
  <c r="K34" i="9"/>
  <c r="M34" i="9" s="1"/>
  <c r="E46" i="9"/>
  <c r="K25" i="9"/>
  <c r="M25" i="9" s="1"/>
  <c r="K15" i="9"/>
  <c r="M15" i="9" s="1"/>
  <c r="K11" i="9"/>
  <c r="M11" i="9" s="1"/>
  <c r="G27" i="9"/>
  <c r="N31" i="4"/>
  <c r="H94" i="4"/>
  <c r="K56" i="8"/>
  <c r="M56" i="8" s="1"/>
  <c r="I58" i="8"/>
  <c r="K31" i="8"/>
  <c r="M31" i="8" s="1"/>
  <c r="I38" i="8"/>
  <c r="I28" i="8"/>
  <c r="K14" i="8"/>
  <c r="M14" i="8" s="1"/>
  <c r="G58" i="8"/>
  <c r="O57" i="8"/>
  <c r="Q57" i="8" s="1"/>
  <c r="K43" i="8"/>
  <c r="M43" i="8" s="1"/>
  <c r="K34" i="8"/>
  <c r="M34" i="8" s="1"/>
  <c r="G38" i="8"/>
  <c r="K22" i="8"/>
  <c r="M22" i="8" s="1"/>
  <c r="K16" i="8"/>
  <c r="M16" i="8" s="1"/>
  <c r="K18" i="8"/>
  <c r="M18" i="8" s="1"/>
  <c r="K17" i="8"/>
  <c r="M17" i="8" s="1"/>
  <c r="K20" i="8"/>
  <c r="M20" i="8" s="1"/>
  <c r="K11" i="6"/>
  <c r="M11" i="6" s="1"/>
  <c r="E28" i="8"/>
  <c r="E11" i="8"/>
  <c r="E12" i="6"/>
  <c r="I27" i="7"/>
  <c r="O23" i="7"/>
  <c r="Q23" i="7" s="1"/>
  <c r="E27" i="7"/>
  <c r="G24" i="10"/>
  <c r="K47" i="10"/>
  <c r="M47" i="10" s="1"/>
  <c r="K12" i="10"/>
  <c r="M12" i="10" s="1"/>
  <c r="K37" i="8"/>
  <c r="M37" i="8" s="1"/>
  <c r="L29" i="5"/>
  <c r="N29" i="5" s="1"/>
  <c r="O67" i="9"/>
  <c r="Q67" i="9" s="1"/>
  <c r="O15" i="9"/>
  <c r="Q15" i="9" s="1"/>
  <c r="O31" i="9"/>
  <c r="Q31" i="9" s="1"/>
  <c r="O19" i="9"/>
  <c r="Q19" i="9" s="1"/>
  <c r="O40" i="9"/>
  <c r="Q40" i="9" s="1"/>
  <c r="O36" i="9"/>
  <c r="Q36" i="9" s="1"/>
  <c r="O26" i="9"/>
  <c r="Q26" i="9" s="1"/>
  <c r="O14" i="9"/>
  <c r="Q14" i="9" s="1"/>
  <c r="O21" i="9"/>
  <c r="Q21" i="9" s="1"/>
  <c r="O39" i="9"/>
  <c r="Q39" i="9" s="1"/>
  <c r="O59" i="9"/>
  <c r="Q59" i="9" s="1"/>
  <c r="O22" i="9"/>
  <c r="Q22" i="9" s="1"/>
  <c r="O50" i="9"/>
  <c r="Q50" i="9" s="1"/>
  <c r="Q5" i="10"/>
  <c r="O64" i="9"/>
  <c r="Q64" i="9" s="1"/>
  <c r="O74" i="9"/>
  <c r="Q74" i="9" s="1"/>
  <c r="L30" i="2"/>
  <c r="N30" i="2" s="1"/>
  <c r="L51" i="4"/>
  <c r="N51" i="4" s="1"/>
  <c r="L60" i="2"/>
  <c r="L80" i="4"/>
  <c r="N80" i="4" s="1"/>
  <c r="I51" i="8"/>
  <c r="K25" i="8"/>
  <c r="M25" i="8" s="1"/>
  <c r="K32" i="8"/>
  <c r="M32" i="8" s="1"/>
  <c r="O18" i="9"/>
  <c r="Q18" i="9" s="1"/>
  <c r="K32" i="9"/>
  <c r="M32" i="9" s="1"/>
  <c r="K50" i="9"/>
  <c r="M50" i="9" s="1"/>
  <c r="O63" i="9"/>
  <c r="Q63" i="9" s="1"/>
  <c r="K15" i="10"/>
  <c r="K22" i="9"/>
  <c r="M22" i="9" s="1"/>
  <c r="K21" i="10"/>
  <c r="M21" i="10" s="1"/>
  <c r="O26" i="7"/>
  <c r="Q26" i="7" s="1"/>
  <c r="K10" i="7"/>
  <c r="M10" i="7" s="1"/>
  <c r="K24" i="7"/>
  <c r="M24" i="7" s="1"/>
  <c r="L13" i="2"/>
  <c r="N13" i="2" s="1"/>
  <c r="L52" i="2"/>
  <c r="N52" i="2" s="1"/>
  <c r="I11" i="8"/>
  <c r="K54" i="8"/>
  <c r="E51" i="10"/>
  <c r="G51" i="10"/>
  <c r="K59" i="10"/>
  <c r="M59" i="10" s="1"/>
  <c r="E16" i="10"/>
  <c r="E51" i="8"/>
  <c r="E46" i="8"/>
  <c r="K44" i="8"/>
  <c r="M44" i="8" s="1"/>
  <c r="O25" i="7"/>
  <c r="K23" i="10"/>
  <c r="L39" i="2"/>
  <c r="N39" i="2" s="1"/>
  <c r="K46" i="10"/>
  <c r="O10" i="8"/>
  <c r="Q10" i="8" s="1"/>
  <c r="G11" i="8"/>
  <c r="I46" i="8"/>
  <c r="K41" i="8"/>
  <c r="M41" i="8" s="1"/>
  <c r="K50" i="8"/>
  <c r="M50" i="8" s="1"/>
  <c r="K45" i="9"/>
  <c r="M45" i="9" s="1"/>
  <c r="K35" i="9"/>
  <c r="M35" i="9" s="1"/>
  <c r="O35" i="9"/>
  <c r="Q35" i="9" s="1"/>
  <c r="G46" i="9"/>
  <c r="K33" i="9"/>
  <c r="M33" i="9" s="1"/>
  <c r="I46" i="9"/>
  <c r="K14" i="10"/>
  <c r="M14" i="10" s="1"/>
  <c r="E24" i="10"/>
  <c r="E38" i="8"/>
  <c r="G46" i="8"/>
  <c r="O42" i="8"/>
  <c r="Q42" i="8" s="1"/>
  <c r="K40" i="9"/>
  <c r="M40" i="9" s="1"/>
  <c r="I27" i="9"/>
  <c r="K19" i="9"/>
  <c r="M19" i="9" s="1"/>
  <c r="F94" i="4"/>
  <c r="I82" i="9"/>
  <c r="G27" i="7"/>
  <c r="G82" i="9"/>
  <c r="O81" i="9"/>
  <c r="Q81" i="9" s="1"/>
  <c r="K24" i="8"/>
  <c r="M24" i="8" s="1"/>
  <c r="E27" i="9"/>
  <c r="K24" i="9"/>
  <c r="M24" i="9" s="1"/>
  <c r="O24" i="9"/>
  <c r="Q24" i="9" s="1"/>
  <c r="K16" i="9"/>
  <c r="H17" i="3"/>
  <c r="G11" i="10"/>
  <c r="L28" i="3"/>
  <c r="N28" i="3" s="1"/>
  <c r="A3" i="8"/>
  <c r="H66" i="3"/>
  <c r="F17" i="3"/>
  <c r="K15" i="8"/>
  <c r="M15" i="8" s="1"/>
  <c r="O15" i="8"/>
  <c r="Q15" i="8" s="1"/>
  <c r="G28" i="8"/>
  <c r="K10" i="6"/>
  <c r="G12" i="6"/>
  <c r="L47" i="2"/>
  <c r="N47" i="2" s="1"/>
  <c r="O38" i="9"/>
  <c r="Q38" i="9" s="1"/>
  <c r="O76" i="9"/>
  <c r="Q76" i="9" s="1"/>
  <c r="O30" i="9"/>
  <c r="O52" i="9"/>
  <c r="Q52" i="9" s="1"/>
  <c r="O78" i="9"/>
  <c r="Q78" i="9" s="1"/>
  <c r="O32" i="9"/>
  <c r="Q32" i="9" s="1"/>
  <c r="O17" i="9"/>
  <c r="Q17" i="9" s="1"/>
  <c r="O69" i="9"/>
  <c r="Q69" i="9" s="1"/>
  <c r="O25" i="9"/>
  <c r="Q25" i="9" s="1"/>
  <c r="E26" i="10"/>
  <c r="F35" i="3"/>
  <c r="L33" i="3"/>
  <c r="N33" i="3" s="1"/>
  <c r="F66" i="3"/>
  <c r="E60" i="10"/>
  <c r="L10" i="3"/>
  <c r="N10" i="3" s="1"/>
  <c r="J17" i="3"/>
  <c r="K9" i="10"/>
  <c r="K36" i="8"/>
  <c r="M36" i="8" s="1"/>
  <c r="G51" i="8"/>
  <c r="K49" i="8"/>
  <c r="E58" i="8"/>
  <c r="K37" i="9"/>
  <c r="M37" i="9" s="1"/>
  <c r="I24" i="10"/>
  <c r="O73" i="9"/>
  <c r="H35" i="3"/>
  <c r="K45" i="8"/>
  <c r="M45" i="8" s="1"/>
  <c r="O45" i="8"/>
  <c r="Q45" i="8" s="1"/>
  <c r="O33" i="9"/>
  <c r="Q33" i="9" s="1"/>
  <c r="K9" i="7" l="1"/>
  <c r="M9" i="7" s="1"/>
  <c r="H17" i="5"/>
  <c r="G15" i="7"/>
  <c r="N60" i="2"/>
  <c r="L62" i="2"/>
  <c r="Q11" i="7"/>
  <c r="L17" i="5"/>
  <c r="N17" i="5" s="1"/>
  <c r="Q14" i="7"/>
  <c r="Q13" i="7"/>
  <c r="I15" i="7"/>
  <c r="K14" i="7"/>
  <c r="M14" i="7" s="1"/>
  <c r="O75" i="9"/>
  <c r="Q75" i="9" s="1"/>
  <c r="O44" i="9"/>
  <c r="Q44" i="9" s="1"/>
  <c r="O61" i="9"/>
  <c r="Q61" i="9" s="1"/>
  <c r="O58" i="9"/>
  <c r="Q58" i="9" s="1"/>
  <c r="O37" i="9"/>
  <c r="Q37" i="9" s="1"/>
  <c r="O68" i="9"/>
  <c r="Q68" i="9" s="1"/>
  <c r="O41" i="9"/>
  <c r="Q41" i="9" s="1"/>
  <c r="O77" i="9"/>
  <c r="Q77" i="9" s="1"/>
  <c r="O13" i="9"/>
  <c r="Q13" i="9" s="1"/>
  <c r="O49" i="9"/>
  <c r="Q49" i="9" s="1"/>
  <c r="O65" i="9"/>
  <c r="Q65" i="9" s="1"/>
  <c r="O11" i="9"/>
  <c r="Q11" i="9" s="1"/>
  <c r="O43" i="9"/>
  <c r="Q43" i="9" s="1"/>
  <c r="O53" i="9"/>
  <c r="Q53" i="9" s="1"/>
  <c r="O10" i="9"/>
  <c r="Q10" i="9" s="1"/>
  <c r="O12" i="9"/>
  <c r="Q12" i="9" s="1"/>
  <c r="O66" i="9"/>
  <c r="Q66" i="9" s="1"/>
  <c r="O51" i="9"/>
  <c r="Q51" i="9" s="1"/>
  <c r="O23" i="9"/>
  <c r="Q23" i="9" s="1"/>
  <c r="O16" i="9"/>
  <c r="Q16" i="9" s="1"/>
  <c r="O45" i="9"/>
  <c r="Q45" i="9" s="1"/>
  <c r="O54" i="9"/>
  <c r="Q54" i="9" s="1"/>
  <c r="O9" i="9"/>
  <c r="Q9" i="9" s="1"/>
  <c r="O42" i="9"/>
  <c r="Q42" i="9" s="1"/>
  <c r="O62" i="9"/>
  <c r="Q62" i="9" s="1"/>
  <c r="O57" i="9"/>
  <c r="Q57" i="9" s="1"/>
  <c r="O60" i="9"/>
  <c r="Q60" i="9" s="1"/>
  <c r="O79" i="9"/>
  <c r="Q79" i="9" s="1"/>
  <c r="O20" i="9"/>
  <c r="Q20" i="9" s="1"/>
  <c r="O34" i="9"/>
  <c r="Q34" i="9" s="1"/>
  <c r="E60" i="8"/>
  <c r="I60" i="8"/>
  <c r="G60" i="8"/>
  <c r="N62" i="2"/>
  <c r="O51" i="8"/>
  <c r="Q51" i="8" s="1"/>
  <c r="O58" i="8"/>
  <c r="O38" i="8"/>
  <c r="Q38" i="8" s="1"/>
  <c r="K11" i="8"/>
  <c r="L94" i="4"/>
  <c r="N94" i="4" s="1"/>
  <c r="E84" i="9"/>
  <c r="K27" i="7"/>
  <c r="M27" i="7" s="1"/>
  <c r="O26" i="10"/>
  <c r="Q26" i="10" s="1"/>
  <c r="Q42" i="10"/>
  <c r="O14" i="10"/>
  <c r="Q14" i="10" s="1"/>
  <c r="O15" i="10"/>
  <c r="O10" i="10"/>
  <c r="Q10" i="10" s="1"/>
  <c r="O13" i="10"/>
  <c r="Q13" i="10" s="1"/>
  <c r="O21" i="10"/>
  <c r="O22" i="10"/>
  <c r="Q22" i="10" s="1"/>
  <c r="O9" i="10"/>
  <c r="Q9" i="10" s="1"/>
  <c r="O23" i="10"/>
  <c r="Q23" i="10" s="1"/>
  <c r="O8" i="10"/>
  <c r="Q8" i="10" s="1"/>
  <c r="O12" i="10"/>
  <c r="Q12" i="10" s="1"/>
  <c r="G84" i="9"/>
  <c r="K70" i="9"/>
  <c r="M70" i="9" s="1"/>
  <c r="M54" i="8"/>
  <c r="K58" i="8"/>
  <c r="M58" i="8" s="1"/>
  <c r="K38" i="8"/>
  <c r="M38" i="8" s="1"/>
  <c r="M9" i="10"/>
  <c r="M10" i="6"/>
  <c r="K12" i="6"/>
  <c r="M12" i="6" s="1"/>
  <c r="L35" i="3"/>
  <c r="N35" i="3" s="1"/>
  <c r="G16" i="10"/>
  <c r="O11" i="10"/>
  <c r="K11" i="10"/>
  <c r="M11" i="10" s="1"/>
  <c r="I51" i="10"/>
  <c r="K46" i="9"/>
  <c r="M46" i="9" s="1"/>
  <c r="Q9" i="7"/>
  <c r="O15" i="7"/>
  <c r="Q73" i="9"/>
  <c r="K51" i="8"/>
  <c r="M49" i="8"/>
  <c r="I16" i="10"/>
  <c r="K46" i="8"/>
  <c r="M46" i="8" s="1"/>
  <c r="M23" i="10"/>
  <c r="K24" i="10"/>
  <c r="Q25" i="7"/>
  <c r="O27" i="7"/>
  <c r="Q27" i="7" s="1"/>
  <c r="I31" i="10"/>
  <c r="O28" i="8"/>
  <c r="Q28" i="8" s="1"/>
  <c r="G60" i="10"/>
  <c r="K55" i="10"/>
  <c r="M16" i="9"/>
  <c r="K27" i="9"/>
  <c r="O11" i="8"/>
  <c r="Q11" i="8" s="1"/>
  <c r="O46" i="8"/>
  <c r="E31" i="10"/>
  <c r="L17" i="3"/>
  <c r="N17" i="3" s="1"/>
  <c r="K29" i="10"/>
  <c r="M29" i="10" s="1"/>
  <c r="Q29" i="10" s="1"/>
  <c r="O29" i="10"/>
  <c r="Q30" i="9"/>
  <c r="K28" i="8"/>
  <c r="M28" i="8" s="1"/>
  <c r="A3" i="9"/>
  <c r="G31" i="10"/>
  <c r="K82" i="9"/>
  <c r="M82" i="9" s="1"/>
  <c r="I84" i="9"/>
  <c r="M46" i="10"/>
  <c r="Q15" i="7" l="1"/>
  <c r="K15" i="7"/>
  <c r="M15" i="7" s="1"/>
  <c r="O82" i="9"/>
  <c r="Q82" i="9" s="1"/>
  <c r="O46" i="9"/>
  <c r="Q46" i="9" s="1"/>
  <c r="O70" i="9"/>
  <c r="Q70" i="9" s="1"/>
  <c r="O27" i="9"/>
  <c r="Q27" i="9" s="1"/>
  <c r="O49" i="10"/>
  <c r="Q49" i="10" s="1"/>
  <c r="O57" i="10"/>
  <c r="O58" i="10"/>
  <c r="Q58" i="10" s="1"/>
  <c r="M11" i="8"/>
  <c r="K60" i="8"/>
  <c r="Q58" i="8"/>
  <c r="O60" i="8"/>
  <c r="O55" i="10"/>
  <c r="Q55" i="10" s="1"/>
  <c r="O48" i="10"/>
  <c r="Q48" i="10" s="1"/>
  <c r="O50" i="10"/>
  <c r="Q50" i="10" s="1"/>
  <c r="Q21" i="10"/>
  <c r="O24" i="10"/>
  <c r="Q24" i="10" s="1"/>
  <c r="O56" i="10"/>
  <c r="Q56" i="10" s="1"/>
  <c r="O59" i="10"/>
  <c r="Q59" i="10" s="1"/>
  <c r="O46" i="10"/>
  <c r="Q46" i="10" s="1"/>
  <c r="O47" i="10"/>
  <c r="Q47" i="10" s="1"/>
  <c r="O45" i="10"/>
  <c r="K51" i="10"/>
  <c r="M51" i="10" s="1"/>
  <c r="B42" i="3"/>
  <c r="A3" i="10"/>
  <c r="A40" i="10" s="1"/>
  <c r="M24" i="10"/>
  <c r="K31" i="10"/>
  <c r="M31" i="10" s="1"/>
  <c r="Q11" i="10"/>
  <c r="O16" i="10"/>
  <c r="Q16" i="10" s="1"/>
  <c r="Q46" i="8"/>
  <c r="M27" i="9"/>
  <c r="K84" i="9"/>
  <c r="M84" i="9" s="1"/>
  <c r="M51" i="8"/>
  <c r="M55" i="10"/>
  <c r="K16" i="10"/>
  <c r="M16" i="10" s="1"/>
  <c r="O84" i="9" l="1"/>
  <c r="Q84" i="9" s="1"/>
  <c r="Q60" i="8"/>
  <c r="O60" i="10"/>
  <c r="O31" i="10"/>
  <c r="Q31" i="10" s="1"/>
  <c r="Q45" i="10"/>
  <c r="O51" i="10"/>
  <c r="Q51" i="10" s="1"/>
  <c r="M60" i="8"/>
  <c r="J66" i="3"/>
  <c r="L63" i="3"/>
  <c r="N63" i="3" s="1"/>
  <c r="I57" i="10"/>
  <c r="Q57" i="10" s="1"/>
  <c r="L66" i="3" l="1"/>
  <c r="N66" i="3" s="1"/>
  <c r="K57" i="10"/>
  <c r="I60" i="10"/>
  <c r="Q60" i="10" s="1"/>
  <c r="K60" i="10" l="1"/>
  <c r="M60" i="10" s="1"/>
  <c r="M57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tc={93D3F6B0-E398-4309-99C7-32FB2EAE5F39}</author>
  </authors>
  <commentList>
    <comment ref="F8" authorId="0" shapeId="0" xr:uid="{93D3F6B0-E398-4309-99C7-32FB2EAE5F39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 budget should only change annually, following adoption.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tc={19F349B0-8C75-4DD2-8069-E46DC962EF01}</author>
  </authors>
  <commentList>
    <comment ref="F7" authorId="0" shapeId="0" xr:uid="{19F349B0-8C75-4DD2-8069-E46DC962EF01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 budget should only change annually, following adoption.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tc={CE7940B9-56B1-4BE2-BCB3-325CCB723EF1}</author>
  </authors>
  <commentList>
    <comment ref="F7" authorId="0" shapeId="0" xr:uid="{CE7940B9-56B1-4BE2-BCB3-325CCB723EF1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 budget should only change annually, following adoption.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<sst xmlns="http://schemas.openxmlformats.org/spreadsheetml/2006/main" count="1201" uniqueCount="520">
  <si>
    <t>YTD Revenue</t>
  </si>
  <si>
    <t>Uncollected
Revenue</t>
  </si>
  <si>
    <t>% Remaining
to Collect</t>
  </si>
  <si>
    <t>Taxes:</t>
  </si>
  <si>
    <t>Other taxes</t>
  </si>
  <si>
    <t>Total taxes</t>
  </si>
  <si>
    <t>Other</t>
  </si>
  <si>
    <t>Emergency Medical Services</t>
  </si>
  <si>
    <t>Parks</t>
  </si>
  <si>
    <t>Intergovernmental:</t>
  </si>
  <si>
    <t>Expenditures</t>
  </si>
  <si>
    <t>YTD Exp + 
Encumbrances</t>
  </si>
  <si>
    <t>Unencumb
Balance</t>
  </si>
  <si>
    <t>% Remaining</t>
  </si>
  <si>
    <t>Public Safety:</t>
  </si>
  <si>
    <t>Judicial:</t>
  </si>
  <si>
    <t>District courts</t>
  </si>
  <si>
    <t>Interest</t>
  </si>
  <si>
    <t>Intergovernmental</t>
  </si>
  <si>
    <t>Salaries</t>
  </si>
  <si>
    <t>Purchasing</t>
  </si>
  <si>
    <t>Principal</t>
  </si>
  <si>
    <t>WILLIAMSON COUNTY</t>
  </si>
  <si>
    <t>Original Budget</t>
  </si>
  <si>
    <t>Current Budget</t>
  </si>
  <si>
    <t>Current Ad Valorem taxes</t>
  </si>
  <si>
    <t>Delinquent Ad Valorem taxes</t>
  </si>
  <si>
    <t>Information Technology Services</t>
  </si>
  <si>
    <t>FINANCIAL REPORT : DEBT SERVICE FUND</t>
  </si>
  <si>
    <t>FINANCIAL REPORT : SPECIAL ROAD AND BRIDGE FUND</t>
  </si>
  <si>
    <t>FINANCIAL REPORT : GENERAL FUND</t>
  </si>
  <si>
    <t>Transfers In</t>
  </si>
  <si>
    <t>Emergency management</t>
  </si>
  <si>
    <t>Haz-mat</t>
  </si>
  <si>
    <t>Revenues</t>
  </si>
  <si>
    <t>Taxes</t>
  </si>
  <si>
    <t>Public Safety</t>
  </si>
  <si>
    <t>Judicial</t>
  </si>
  <si>
    <t>n/a</t>
  </si>
  <si>
    <t xml:space="preserve"> (unaudited)</t>
  </si>
  <si>
    <t>COMPARISON OF TAX REVENUES : GENERAL FUND</t>
  </si>
  <si>
    <t>Total Revenues</t>
  </si>
  <si>
    <t>% Target Analysis</t>
  </si>
  <si>
    <t xml:space="preserve"> </t>
  </si>
  <si>
    <t>Months in Period:</t>
  </si>
  <si>
    <t>Constables</t>
  </si>
  <si>
    <t>Current Ad Valorem Taxes</t>
  </si>
  <si>
    <t>Other Taxes</t>
  </si>
  <si>
    <t>Fees of Office:</t>
  </si>
  <si>
    <t>County Sheriff</t>
  </si>
  <si>
    <t>County Clerk</t>
  </si>
  <si>
    <t>Tax Assessor/Collector</t>
  </si>
  <si>
    <t>District Clerk</t>
  </si>
  <si>
    <t>Justice of the Peace</t>
  </si>
  <si>
    <t>Justice of the Peace Pct. 1</t>
  </si>
  <si>
    <t>Justice of the Peace Pct. 2</t>
  </si>
  <si>
    <t>Justice of the Peace Pct. 3</t>
  </si>
  <si>
    <t>Justice of the Peace Pct. 4</t>
  </si>
  <si>
    <t>District Attorney</t>
  </si>
  <si>
    <t>Constable Pct. 1</t>
  </si>
  <si>
    <t>Constable Pct. 2</t>
  </si>
  <si>
    <t>Constable Pct. 3</t>
  </si>
  <si>
    <t>Constable Pct. 4</t>
  </si>
  <si>
    <t>County Attorney</t>
  </si>
  <si>
    <t>Fines and Forfeitures:</t>
  </si>
  <si>
    <t>Charges for Services:</t>
  </si>
  <si>
    <t>In Lieu of Taxes</t>
  </si>
  <si>
    <t>Total Fees of Office</t>
  </si>
  <si>
    <t>Total Fines and Forfeitures</t>
  </si>
  <si>
    <t>Total Charges for Services</t>
  </si>
  <si>
    <t>Total Intergovernmental</t>
  </si>
  <si>
    <t>Investment Income and Other:</t>
  </si>
  <si>
    <t>Investment Income</t>
  </si>
  <si>
    <t>Proceeds fr Sale of Surplus Property</t>
  </si>
  <si>
    <t>Total Investment Income/Other</t>
  </si>
  <si>
    <t>Fees of Office</t>
  </si>
  <si>
    <t>Fines and Forfeitures</t>
  </si>
  <si>
    <t>Charges for Services</t>
  </si>
  <si>
    <t>Investment Income and Other</t>
  </si>
  <si>
    <t>General Government</t>
  </si>
  <si>
    <t>Community Services</t>
  </si>
  <si>
    <t>Total Expenditures</t>
  </si>
  <si>
    <t>General Government:</t>
  </si>
  <si>
    <t>County Judge</t>
  </si>
  <si>
    <t>Commissioner, Pct. 1</t>
  </si>
  <si>
    <t>Commissioner, Pct. 2</t>
  </si>
  <si>
    <t>Commissioner, Pct. 3</t>
  </si>
  <si>
    <t>Commissioner, Pct. 4</t>
  </si>
  <si>
    <t>Non-Departmental</t>
  </si>
  <si>
    <t>County Auditor</t>
  </si>
  <si>
    <t>County Treasurer</t>
  </si>
  <si>
    <t>Tax Assessor/Collecter</t>
  </si>
  <si>
    <t>Office Buildings</t>
  </si>
  <si>
    <t>Human Resources</t>
  </si>
  <si>
    <t>General Elections</t>
  </si>
  <si>
    <t>Total General Government</t>
  </si>
  <si>
    <t>Constable, Pct. 1</t>
  </si>
  <si>
    <t>Constable, Pct. 2</t>
  </si>
  <si>
    <t>Constable, Pct. 3</t>
  </si>
  <si>
    <t>Constable, Pct. 4</t>
  </si>
  <si>
    <t>Department of Public Safety</t>
  </si>
  <si>
    <t>Jail and Law Enforcement</t>
  </si>
  <si>
    <t>Juvenile Services</t>
  </si>
  <si>
    <t>Adult Probation</t>
  </si>
  <si>
    <t>911 Communications</t>
  </si>
  <si>
    <t>Total Public Safety</t>
  </si>
  <si>
    <t>County Courts-at-Law</t>
  </si>
  <si>
    <t>County Court-at-Law 1</t>
  </si>
  <si>
    <t>County Court-at-Law 2</t>
  </si>
  <si>
    <t>County Court-at-Law 3</t>
  </si>
  <si>
    <t>County Court-at-Law 4</t>
  </si>
  <si>
    <t>26th Judicial Court</t>
  </si>
  <si>
    <t>277th Judicial Court</t>
  </si>
  <si>
    <t>368th Judicial Court</t>
  </si>
  <si>
    <t>395th Judicial Court</t>
  </si>
  <si>
    <t>425th Judicial Court</t>
  </si>
  <si>
    <t>Justice Court, Pct. 1</t>
  </si>
  <si>
    <t>Justice Court, Pct. 2</t>
  </si>
  <si>
    <t>Justice Court, Pct. 3</t>
  </si>
  <si>
    <t>Justice Court, Pct. 4</t>
  </si>
  <si>
    <t>Personal Bond office</t>
  </si>
  <si>
    <t>Total Judicial</t>
  </si>
  <si>
    <t>Community Services:</t>
  </si>
  <si>
    <t>Veterans Service</t>
  </si>
  <si>
    <t>Health Department</t>
  </si>
  <si>
    <t>Animal Health Services</t>
  </si>
  <si>
    <t>Agricultural Extension Service</t>
  </si>
  <si>
    <t>Parks Department</t>
  </si>
  <si>
    <t>Public Welfare</t>
  </si>
  <si>
    <t>Child Welfare</t>
  </si>
  <si>
    <t>Total Community Services</t>
  </si>
  <si>
    <t>Emergency Services Department</t>
  </si>
  <si>
    <t>Mobile Outreach Team</t>
  </si>
  <si>
    <t>Delinquent Ad Valorem Taxes</t>
  </si>
  <si>
    <t>Motor Vehicle Registration</t>
  </si>
  <si>
    <t>Proceeds from Surplus Property</t>
  </si>
  <si>
    <t>Transportation Support:</t>
  </si>
  <si>
    <t>Employee Benefits</t>
  </si>
  <si>
    <t>Total Transportation Support</t>
  </si>
  <si>
    <t>Capital Outlay</t>
  </si>
  <si>
    <t>Other Financing Sources</t>
  </si>
  <si>
    <t>Transfers Out</t>
  </si>
  <si>
    <t>Budget Office</t>
  </si>
  <si>
    <t>Infrastructure Department</t>
  </si>
  <si>
    <t>Transfer In</t>
  </si>
  <si>
    <t>Operations/Maintenance</t>
  </si>
  <si>
    <t>Pymts from Other Entities</t>
  </si>
  <si>
    <t>Proceeds fm Bond Issuance</t>
  </si>
  <si>
    <t>Wireless Communication</t>
  </si>
  <si>
    <t>WC Historical Commission</t>
  </si>
  <si>
    <t>Proceeds/Premium fm Bond Issuance</t>
  </si>
  <si>
    <t>Magistrate Office</t>
  </si>
  <si>
    <t>Debt Defeasance</t>
  </si>
  <si>
    <t>Pymts to Refunding Escrow Agent</t>
  </si>
  <si>
    <t>Total Tax Revenues</t>
  </si>
  <si>
    <t>On site sewer facilities</t>
  </si>
  <si>
    <t>Commissioners Court</t>
  </si>
  <si>
    <t xml:space="preserve"> AS OF MARCH 31, 2018</t>
  </si>
  <si>
    <t>not updated</t>
  </si>
  <si>
    <t>Pre-Trial Department</t>
  </si>
  <si>
    <t>County Court-at-Law 5</t>
  </si>
  <si>
    <t>Fire Marshal Spec Ops/Hazmat</t>
  </si>
  <si>
    <t>Target Analysis                 (3 months)</t>
  </si>
  <si>
    <t>In Oracle:  WC MONTHLY  FINANCIAL REPORT</t>
  </si>
  <si>
    <t>Public Affairs</t>
  </si>
  <si>
    <t>Death Inquests</t>
  </si>
  <si>
    <t>Drug Court Program</t>
  </si>
  <si>
    <t>Veterans Court Program</t>
  </si>
  <si>
    <t>Public Safety IT</t>
  </si>
  <si>
    <t>480th Judicial Court</t>
  </si>
  <si>
    <t>Need to do BA to correct budget numbers</t>
  </si>
  <si>
    <t>Miscellaneous</t>
  </si>
  <si>
    <t>REVENUES</t>
  </si>
  <si>
    <t>_x000C_</t>
  </si>
  <si>
    <t>W</t>
  </si>
  <si>
    <t>ILLIAMSON COUNTY</t>
  </si>
  <si>
    <t>MONTH</t>
  </si>
  <si>
    <t>LY FINANCIAL REPORT</t>
  </si>
  <si>
    <t>Page:   1</t>
  </si>
  <si>
    <t>Curr</t>
  </si>
  <si>
    <t>Currency: USD</t>
  </si>
  <si>
    <t>Ledger=WILLIAMSON (WILLIAMSON COUNTY),</t>
  </si>
  <si>
    <t>Entity=01 (William</t>
  </si>
  <si>
    <t>son County),  Fund=0</t>
  </si>
  <si>
    <t>100 (GENERAL FUND)</t>
  </si>
  <si>
    <t>Original</t>
  </si>
  <si>
    <t>Current</t>
  </si>
  <si>
    <t>Uncollected</t>
  </si>
  <si>
    <t>% Rm</t>
  </si>
  <si>
    <t>Budget</t>
  </si>
  <si>
    <t>Revenue</t>
  </si>
  <si>
    <t>to Coll</t>
  </si>
  <si>
    <t>..................</t>
  </si>
  <si>
    <t>......</t>
  </si>
  <si>
    <t>Current ad valorem taxes</t>
  </si>
  <si>
    <t>Delinquent ad valorem taxes</t>
  </si>
  <si>
    <t>------------------</t>
  </si>
  <si>
    <t>------</t>
  </si>
  <si>
    <t>Fees of office:</t>
  </si>
  <si>
    <t>County sheriff</t>
  </si>
  <si>
    <t>County clerk</t>
  </si>
  <si>
    <t>Tax assessor/collector</t>
  </si>
  <si>
    <t>District clerk</t>
  </si>
  <si>
    <t>Justice of the peace precinct 1</t>
  </si>
  <si>
    <t>Justice of the peace precinct 2</t>
  </si>
  <si>
    <t>Justice of the peace precinct 3</t>
  </si>
  <si>
    <t>Justice of the peace precinct 4</t>
  </si>
  <si>
    <t>Constable precinct 1</t>
  </si>
  <si>
    <t>Constable precinct 2</t>
  </si>
  <si>
    <t>Constable precinct 3</t>
  </si>
  <si>
    <t>Constable precinct 4</t>
  </si>
  <si>
    <t>County attorney</t>
  </si>
  <si>
    <t>Total fees of office</t>
  </si>
  <si>
    <t>Fines and forfeitures:</t>
  </si>
  <si>
    <t>Total fines and forfeitures</t>
  </si>
  <si>
    <t>Charges for services:</t>
  </si>
  <si>
    <t>Emergency medical services</t>
  </si>
  <si>
    <t>n/m</t>
  </si>
  <si>
    <t>Total charges for services</t>
  </si>
  <si>
    <t>In lieu of taxes</t>
  </si>
  <si>
    <t>Other governments</t>
  </si>
  <si>
    <t>Page:   2</t>
  </si>
  <si>
    <t>Total intergovernmental</t>
  </si>
  <si>
    <t>Investment income and other</t>
  </si>
  <si>
    <t>Investment income</t>
  </si>
  <si>
    <t>Proceeds fr sale of  surplus proper</t>
  </si>
  <si>
    <t>Proceeds fr leases</t>
  </si>
  <si>
    <t>Transfers in</t>
  </si>
  <si>
    <t>Total investment income/other</t>
  </si>
  <si>
    <t>Total revenues</t>
  </si>
  <si>
    <t>==================</t>
  </si>
  <si>
    <t>======</t>
  </si>
  <si>
    <t>EXPENDITURES</t>
  </si>
  <si>
    <t>YTD Exp +</t>
  </si>
  <si>
    <t>Unencumb     %</t>
  </si>
  <si>
    <t>Rm</t>
  </si>
  <si>
    <t>Encumbrances</t>
  </si>
  <si>
    <t>Balance</t>
  </si>
  <si>
    <t>...</t>
  </si>
  <si>
    <t>General government:</t>
  </si>
  <si>
    <t>County judge</t>
  </si>
  <si>
    <t>Commissioners court</t>
  </si>
  <si>
    <t>Commissioner precinct 1</t>
  </si>
  <si>
    <t>Commissioner precinct 2</t>
  </si>
  <si>
    <t>Commissioner precinct 3</t>
  </si>
  <si>
    <t>Commissioner precinct 4</t>
  </si>
  <si>
    <t>Non-departmental</t>
  </si>
  <si>
    <t>County auditor</t>
  </si>
  <si>
    <t>County treasurer</t>
  </si>
  <si>
    <t>Budget office</t>
  </si>
  <si>
    <t>Infrastructure department</t>
  </si>
  <si>
    <t>Facilities Management</t>
  </si>
  <si>
    <t>Information technology services</t>
  </si>
  <si>
    <t>Human resources</t>
  </si>
  <si>
    <t>General elections</t>
  </si>
  <si>
    <t>Public affairs</t>
  </si>
  <si>
    <t>Risk Administration</t>
  </si>
  <si>
    <t>---</t>
  </si>
  <si>
    <t>Total general government</t>
  </si>
  <si>
    <t>Public safety:</t>
  </si>
  <si>
    <t>Department of public safety</t>
  </si>
  <si>
    <t>Jail and law enforcement</t>
  </si>
  <si>
    <t>Juvenile services</t>
  </si>
  <si>
    <t>Adult probation</t>
  </si>
  <si>
    <t>Emergency services department</t>
  </si>
  <si>
    <t>Fire Marshal Spec Ops/Haz-Mat</t>
  </si>
  <si>
    <t>911 communications</t>
  </si>
  <si>
    <t>Wireless communication</t>
  </si>
  <si>
    <t>Total public safety</t>
  </si>
  <si>
    <t>County courts-at-law</t>
  </si>
  <si>
    <t>County court-at-law #1</t>
  </si>
  <si>
    <t>County court-at-law #2</t>
  </si>
  <si>
    <t>County court-at-law #3</t>
  </si>
  <si>
    <t>County court-at-law #4</t>
  </si>
  <si>
    <t>County court-at-law #5</t>
  </si>
  <si>
    <t>Magistrate office</t>
  </si>
  <si>
    <t>Pre-Trial Office</t>
  </si>
  <si>
    <t>26th Judicial court</t>
  </si>
  <si>
    <t>277th Judicial court</t>
  </si>
  <si>
    <t>368th Judicial court</t>
  </si>
  <si>
    <t>395th Judicial court</t>
  </si>
  <si>
    <t>425th Judicial court</t>
  </si>
  <si>
    <t>480th Judicial court</t>
  </si>
  <si>
    <t>District attorney</t>
  </si>
  <si>
    <t>Justice court precinct 1</t>
  </si>
  <si>
    <t>Justice court precinct 2</t>
  </si>
  <si>
    <t>Justice court precinct 3</t>
  </si>
  <si>
    <t>Justice court precinct 4</t>
  </si>
  <si>
    <t>Total judicial</t>
  </si>
  <si>
    <t>Community services:</t>
  </si>
  <si>
    <t>Veteran services</t>
  </si>
  <si>
    <t>Health department</t>
  </si>
  <si>
    <t>WC historical commission</t>
  </si>
  <si>
    <t>Animal services</t>
  </si>
  <si>
    <t>Agricultural extension service</t>
  </si>
  <si>
    <t>Parks department</t>
  </si>
  <si>
    <t>Public welfare</t>
  </si>
  <si>
    <t>Child welfare</t>
  </si>
  <si>
    <t>Total community services</t>
  </si>
  <si>
    <t>Total expenditures</t>
  </si>
  <si>
    <t>===</t>
  </si>
  <si>
    <t>WILLIAMSON</t>
  </si>
  <si>
    <t>COUNTY</t>
  </si>
  <si>
    <t>ST</t>
  </si>
  <si>
    <t>ATEMENT OF EXPENDITUR</t>
  </si>
  <si>
    <t>ES-BUDGET VS ACTUAL</t>
  </si>
  <si>
    <t>Current Perio</t>
  </si>
  <si>
    <t>Entity=01 (Williamson County),  Fund=0200 (ROAD</t>
  </si>
  <si>
    <t>&amp; BRIDGE GENERAL FUND)</t>
  </si>
  <si>
    <t>,  Department=0210 (U</t>
  </si>
  <si>
    <t>NIFIED ROAD SYSTEM)</t>
  </si>
  <si>
    <t>,  Ledger=WILLIAMSO</t>
  </si>
  <si>
    <t>N (WILLIAMSON COUNTY</t>
  </si>
  <si>
    <t>)</t>
  </si>
  <si>
    <t>Object</t>
  </si>
  <si>
    <t>Monthly Expend</t>
  </si>
  <si>
    <t>YTD Expend</t>
  </si>
  <si>
    <t>YTD Exp + Encumb</t>
  </si>
  <si>
    <t>UnEncumb Balance</t>
  </si>
  <si>
    <t>Rm%</t>
  </si>
  <si>
    <t>000777 TRANSFER TO CAPITAL PROJECTS</t>
  </si>
  <si>
    <t>001100 F/T SALARIES</t>
  </si>
  <si>
    <t>001101 P/T SALARIES &lt;=29 HRS/WK</t>
  </si>
  <si>
    <t>001107 TEMP LABOR-SEASONAL HELP</t>
  </si>
  <si>
    <t>001109 CELL PHONE STIPEND</t>
  </si>
  <si>
    <t>001110 OVERTIME</t>
  </si>
  <si>
    <t>001125 LONGEVITY PAY</t>
  </si>
  <si>
    <t>001130 MERIT, RETENTION &amp; RECRUITING</t>
  </si>
  <si>
    <t>001151 CSR SALARIES</t>
  </si>
  <si>
    <t>001914 BILINGUAL STIPEND</t>
  </si>
  <si>
    <t>002010 FICA</t>
  </si>
  <si>
    <t>002020 RETIREMENT</t>
  </si>
  <si>
    <t>002030 INSURANCE</t>
  </si>
  <si>
    <t>002050 WORKER'S COMP</t>
  </si>
  <si>
    <t>002070 GROUP INS/RETIREES</t>
  </si>
  <si>
    <t>002080 RANDOM DRUG TESTING</t>
  </si>
  <si>
    <t>003001 SMALL EQUIPMENT &amp; TOOLS &lt; $5,000</t>
  </si>
  <si>
    <t>003002 VEHICLE EQUIPMENT &lt; $5,000</t>
  </si>
  <si>
    <t>003005 OFFICE FURNITURE &lt; $5,000</t>
  </si>
  <si>
    <t>003006 OFFICE EQUIPMENT &lt; $5,000</t>
  </si>
  <si>
    <t>003010 COMPUTER EQUIPMENT &lt; $5,000</t>
  </si>
  <si>
    <t>003100 OFFICE SUPPLIES</t>
  </si>
  <si>
    <t>003101 EDUC AIDS/MATLS</t>
  </si>
  <si>
    <t>003102 SAFETY SUPPLIES</t>
  </si>
  <si>
    <t>003109 SURVEY SUPP &amp; EQUIP</t>
  </si>
  <si>
    <t>003110 OTHER SUPPLIES</t>
  </si>
  <si>
    <t>003120 PRINTER SUPPLIES</t>
  </si>
  <si>
    <t>003301 GASOLINE</t>
  </si>
  <si>
    <t>003302 USED TIRE DISPOSAL</t>
  </si>
  <si>
    <t>003311 UNIFORMS</t>
  </si>
  <si>
    <t>003318 JANITORIAL SUPPLIES</t>
  </si>
  <si>
    <t>003541 CONTRACT MOWING</t>
  </si>
  <si>
    <t>003542 CONTRACT STRIPING</t>
  </si>
  <si>
    <t>003544 CONTRACT HAULING</t>
  </si>
  <si>
    <t>003550 ASPHALT</t>
  </si>
  <si>
    <t>003551 BASE &amp; STABILIZER</t>
  </si>
  <si>
    <t>003552 CONCRETE</t>
  </si>
  <si>
    <t>003553 SIGNS</t>
  </si>
  <si>
    <t>003554 CHEMICALS, ROADSIDE SPRAYING</t>
  </si>
  <si>
    <t>003555 FENCING MATLS/LABOR</t>
  </si>
  <si>
    <t>003556 AGGREGATE/ROCK MATERIALS</t>
  </si>
  <si>
    <t>003558 CULVERTS &amp; BRIDGE MATERIALS</t>
  </si>
  <si>
    <t>003597 ROADWAY REHAB</t>
  </si>
  <si>
    <t>003598 GUARDRAIL MAINT.</t>
  </si>
  <si>
    <t>003599 ROAD CONSTR./MAINT.</t>
  </si>
  <si>
    <t>003601 EMPLOYEE RECOGNITION PROGRAM</t>
  </si>
  <si>
    <t>003900 MEMBERSHIP DUES</t>
  </si>
  <si>
    <t>003901 PUBLICATIONS/BOOKS/PERIODICALS</t>
  </si>
  <si>
    <t>004100 PROFESSIONAL SERVICES</t>
  </si>
  <si>
    <t>004150 SURVEYING</t>
  </si>
  <si>
    <t>004160 LAB FEES</t>
  </si>
  <si>
    <t>004208 INTERNET CLOUD SOLUTIONS</t>
  </si>
  <si>
    <t>004210 INTERNET/EMAIL SVS</t>
  </si>
  <si>
    <t>004212 POSTAGE</t>
  </si>
  <si>
    <t>004231 TRAVEL</t>
  </si>
  <si>
    <t>004232 TRAINING, CONF., SEMINARS</t>
  </si>
  <si>
    <t>004310 ADVERTISING - STATUTORY</t>
  </si>
  <si>
    <t>004311 ADVERTISING - GENERAL</t>
  </si>
  <si>
    <t>004350 PRINTED MATERIALS &amp; BINDING</t>
  </si>
  <si>
    <t>004414 VEHICLE INSURANCE</t>
  </si>
  <si>
    <t>004419 PROPERTY INSURANCE</t>
  </si>
  <si>
    <t>004430 UTILITIES</t>
  </si>
  <si>
    <t>004500 MAINTENANCE SERVICES</t>
  </si>
  <si>
    <t>004505 SOFTWARE MAINTENANCE</t>
  </si>
  <si>
    <t>004509 FACILITY ENHANCEMENTS</t>
  </si>
  <si>
    <t>004510 FACILITY REPAIRS</t>
  </si>
  <si>
    <t>004531 MAINT. AGREEMENTS-BRUSHY CREEK</t>
  </si>
  <si>
    <t>004541 VEHICLE REPAIRS &amp; MAINT</t>
  </si>
  <si>
    <t>004543 REPAIRS TO EQUIPMENT</t>
  </si>
  <si>
    <t>004548 RADIO REPAIRS &amp; MAINT.</t>
  </si>
  <si>
    <t>004549 SIGNAL LIGHT MAINT.</t>
  </si>
  <si>
    <t>004604 PYMTS TO TIF/TIRZ</t>
  </si>
  <si>
    <t>004620 FURNITURE/EQUIP. RENTAL</t>
  </si>
  <si>
    <t>004621 COPIER RENTAL &amp; SUPPLIES</t>
  </si>
  <si>
    <t>004705 PRE-EMPLOYMENT SCREENING</t>
  </si>
  <si>
    <t>004711 TAX APPRAISAL DISTRICT</t>
  </si>
  <si>
    <t>004850 RCS RADIO FEES</t>
  </si>
  <si>
    <t>004991 LANDFILL</t>
  </si>
  <si>
    <t>004993 SAFETY PROGRAM</t>
  </si>
  <si>
    <t>004998 CONTINGENCIES</t>
  </si>
  <si>
    <t>004999 MISCELLANEOUS</t>
  </si>
  <si>
    <t>005003 EQUIPMENT &gt; $5,000</t>
  </si>
  <si>
    <t>005400 BRIDGES</t>
  </si>
  <si>
    <t>005700 VEHICLES &gt; $5,000</t>
  </si>
  <si>
    <t>005711 HEAVY EQUIPMENT &gt; $5,000</t>
  </si>
  <si>
    <t>005730 RADIO EQUIPMENT &gt; $5,000</t>
  </si>
  <si>
    <t>005741 COMPUTER SOFTWARE &gt; $5,000</t>
  </si>
  <si>
    <t>TOTAL</t>
  </si>
  <si>
    <t>Entity=01 (Williamson County),  Fund=0600 (DEBT</t>
  </si>
  <si>
    <t>SERVICE-COUNTY WIDE),</t>
  </si>
  <si>
    <t>Department=0600 (DEB</t>
  </si>
  <si>
    <t>T SERVICE-COUNTY WI</t>
  </si>
  <si>
    <t>DE),  Ledger=WILLIA</t>
  </si>
  <si>
    <t>MSON (WILLIAMSON COU</t>
  </si>
  <si>
    <t>NTY)</t>
  </si>
  <si>
    <t>003309 ARBITRAGE PAYMENT</t>
  </si>
  <si>
    <t>004098 PYMT TO REFUNDING ESCROW AGENT</t>
  </si>
  <si>
    <t>004099 BOND ISSUANCE COSTS</t>
  </si>
  <si>
    <t>006234 '12 LTD TAXABLE REF - PRINC</t>
  </si>
  <si>
    <t>006242 '15 UNL TAX ROAD BONDS -  PRINC</t>
  </si>
  <si>
    <t>006247 '17 LTD REFUNDING - PRINC</t>
  </si>
  <si>
    <t>006248 '17 UNL TAX ROAD BONDS -  PRINC</t>
  </si>
  <si>
    <t>006249 '20 UNL TAX ROAD BONDS - PRINC</t>
  </si>
  <si>
    <t>006250 '20 LTD TAX REF &amp; PARK BONDS - PR</t>
  </si>
  <si>
    <t>006251 '21 LTD TAX REFUNDING - PRINC</t>
  </si>
  <si>
    <t>006252 '21 LTD TAXABLE REFUNDING - PRINC</t>
  </si>
  <si>
    <t>006253 '21 LTD TAX NOTES - PRINC</t>
  </si>
  <si>
    <t>006254 '22 UNL TAX ROAD BONDS - PRINC</t>
  </si>
  <si>
    <t>006255 '23 LTD TAX NOTES - PRINC</t>
  </si>
  <si>
    <t>006257 '24 LTD TAX NOTE - PRINC</t>
  </si>
  <si>
    <t>006634 '12 LTD TAXABLE REF - INT</t>
  </si>
  <si>
    <t>006640 '15 LTD TAX REFUNDING - INT</t>
  </si>
  <si>
    <t>006642 '15 UNL TAX ROAD BONDS -  INT</t>
  </si>
  <si>
    <t>006644 '15A LTD TAX REFUNDING - INT</t>
  </si>
  <si>
    <t>006645 '16 LTD PARK BONDS - INT</t>
  </si>
  <si>
    <t>006646 '16 LTD REFUNDING - INT</t>
  </si>
  <si>
    <t>006647 '17 LTD REFUNDING - INT</t>
  </si>
  <si>
    <t>006648 '17 UNL TAX ROAD BONDS - INT</t>
  </si>
  <si>
    <t>006649 '20 UNL TAX ROAD BONDS - INT</t>
  </si>
  <si>
    <t>006650 '20 LTD TAX REF &amp; PARK BONDS - IN</t>
  </si>
  <si>
    <t>006651 '21 LTD TAX REFUNDING - INT</t>
  </si>
  <si>
    <t>006652 '21 LTD TAXABLE REFUNDING - INT</t>
  </si>
  <si>
    <t>006653 '21 LTD TAX NOTES - INT</t>
  </si>
  <si>
    <t>006654 '22 UNL TAX ROAD BONDS - INT</t>
  </si>
  <si>
    <t>006655 '23 LTD TAX NOTES - INT</t>
  </si>
  <si>
    <t>006656 '23 UNL TAX ROAD BONDS - INT</t>
  </si>
  <si>
    <t>006657 '24 LTD TAX NOTE - INT</t>
  </si>
  <si>
    <t>006900 OTHER EXPENSES/FEES</t>
  </si>
  <si>
    <t>006901 DEBT DEFEASANCE</t>
  </si>
  <si>
    <t>Date: 01-MAY-2</t>
  </si>
  <si>
    <t>County Manager</t>
  </si>
  <si>
    <t>Date: 01-MAY-</t>
  </si>
  <si>
    <t>512th Judicial Court</t>
  </si>
  <si>
    <t>Date: 01-MA</t>
  </si>
  <si>
    <t>d: DEC-25</t>
  </si>
  <si>
    <t>004209 CELLULAR PHONE/PAGER</t>
  </si>
  <si>
    <t>26 10:51:15</t>
  </si>
  <si>
    <t>006244 '15A LTD TAX REFUNDING - PRINC</t>
  </si>
  <si>
    <t>006256 '23 UNL TAX ROAD BONDS - PRINC</t>
  </si>
  <si>
    <t>006258 '25 UNL TAX ROAD BONDS - PRINC</t>
  </si>
  <si>
    <t>006259 '25 LTD TAX REF &amp; PARK BONDS - PR</t>
  </si>
  <si>
    <t>006260 '25 LTD TAX NOTE - PRINC</t>
  </si>
  <si>
    <t>006658 '25 UNL TAX ROAD BONDS - INT</t>
  </si>
  <si>
    <t>006659 '25 LTD TAX REF &amp; PARK BONDS - IN</t>
  </si>
  <si>
    <t>006660 '25 LTD TAX NOTE - INT</t>
  </si>
  <si>
    <t xml:space="preserve"> AS OF March 31, 2026</t>
  </si>
  <si>
    <t>Y-26 11:27:07</t>
  </si>
  <si>
    <t>ent Period: MAR-26</t>
  </si>
  <si>
    <t>Date: 01-M</t>
  </si>
  <si>
    <t>AY-26 11:27:07</t>
  </si>
  <si>
    <t>6 11:27:37</t>
  </si>
  <si>
    <t>26 11:39:43</t>
  </si>
  <si>
    <t>d: MAR-26</t>
  </si>
  <si>
    <t>WI</t>
  </si>
  <si>
    <t>LLIAMSON COUNTY</t>
  </si>
  <si>
    <t>Date: 04-MAY-26 12:53:08</t>
  </si>
  <si>
    <t>STAT</t>
  </si>
  <si>
    <t>EMENT OF REVENUES</t>
  </si>
  <si>
    <t>Curre</t>
  </si>
  <si>
    <t>nt Period: MAR-26</t>
  </si>
  <si>
    <t>Entity=01 (Williamson County),  Fund=0200 (</t>
  </si>
  <si>
    <t>ROAD &amp; BRIDGE GENER</t>
  </si>
  <si>
    <t>AL FUND),  Department</t>
  </si>
  <si>
    <t>=0000 (Default),</t>
  </si>
  <si>
    <t>Ledger=WILLIAMSON (W</t>
  </si>
  <si>
    <t>ILLIAMSON COUNTY)</t>
  </si>
  <si>
    <t>Orig Budget</t>
  </si>
  <si>
    <t>Curr Budget</t>
  </si>
  <si>
    <t>Monthly Rev</t>
  </si>
  <si>
    <t>Rev Receivable</t>
  </si>
  <si>
    <t>%Rm</t>
  </si>
  <si>
    <t>---------------------------------------</t>
  </si>
  <si>
    <t>-------------</t>
  </si>
  <si>
    <t>--------------</t>
  </si>
  <si>
    <t>---------------</t>
  </si>
  <si>
    <t>311100 CURRENT TAXES</t>
  </si>
  <si>
    <t>311300 DELINQUENT TAXES</t>
  </si>
  <si>
    <t>319100 P &amp; I - M &amp; O CURRENT TAXES</t>
  </si>
  <si>
    <t>319300 P &amp; I - M &amp; O DELINQUENT TAXES</t>
  </si>
  <si>
    <t>319401 RFM-LATE FILED RENDITION PEN</t>
  </si>
  <si>
    <t>335300 PYMTS FM STATE COMP-WEIGHT</t>
  </si>
  <si>
    <t>335400 ST LATERAL RD FUNDS (MOTOR FUEL)</t>
  </si>
  <si>
    <t>335500 MOTOR VEHICLE REGISTRATION</t>
  </si>
  <si>
    <t>335501 OPTIONAL CO REG. FEE</t>
  </si>
  <si>
    <t>361300 INTEREST, INVESTMENTS</t>
  </si>
  <si>
    <t>361900 NET INC/DEC FMV, INVESTMENTS</t>
  </si>
  <si>
    <t>364000 SALE OF SURPLUS PROPERTY</t>
  </si>
  <si>
    <t>370101 INSPECTION FEES</t>
  </si>
  <si>
    <t>370105 PLAT AND SUBDIVISION REVIEW FEES</t>
  </si>
  <si>
    <t>370500 MISCELLANEOUS REVENUE</t>
  </si>
  <si>
    <t>WIDE),  Department=0</t>
  </si>
  <si>
    <t>000 (Default),  Le</t>
  </si>
  <si>
    <t>dger=WILLIAMSON (WIL</t>
  </si>
  <si>
    <t>LIAMSON COUNTY)</t>
  </si>
  <si>
    <t>333220 PYMTS FROM OTHER ENTITIES</t>
  </si>
  <si>
    <t>380250 XFR FM PASS THRU FUNDING PRGM</t>
  </si>
  <si>
    <t>Date: 04-MAY-26 13:01:32</t>
  </si>
  <si>
    <t>Entity=01 (Williamson County),  Fund=0600</t>
  </si>
  <si>
    <t>(DEBT SERVICE-COUNTY</t>
  </si>
  <si>
    <t>In Oracle:  Fund 0200 &amp; Fund 0600 SoR and SoE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</si>
</sst>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%;\(0.00\)%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color indexed="56"/>
      <name val="Arial"/>
      <family val="2"/>
    </font>
    <font>
      <b/>
      <u/>
      <sz val="10"/>
      <color indexed="56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00"/>
      <name val="Arial Unicode MS"/>
    </font>
  </fonts>
  <fills count="39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8" applyNumberFormat="0" applyAlignment="0" applyProtection="0"/>
    <xf numFmtId="0" fontId="23" fillId="7" borderId="9" applyNumberFormat="0" applyAlignment="0" applyProtection="0"/>
    <xf numFmtId="0" fontId="24" fillId="7" borderId="8" applyNumberFormat="0" applyAlignment="0" applyProtection="0"/>
    <xf numFmtId="0" fontId="25" fillId="0" borderId="10" applyNumberFormat="0" applyFill="0" applyAlignment="0" applyProtection="0"/>
    <xf numFmtId="0" fontId="26" fillId="8" borderId="1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0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12" applyNumberFormat="0" applyFont="0" applyAlignment="0" applyProtection="0"/>
    <xf numFmtId="43" fontId="31" fillId="0" borderId="0" applyFont="0" applyFill="0" applyBorder="0" applyAlignment="0" applyProtection="0"/>
  </cellStyleXfs>
  <cellXfs count="149">
    <xf numFmtId="0" fontId="0" fillId="0" borderId="0" xfId="0"/>
    <xf numFmtId="0" fontId="4" fillId="0" borderId="0" xfId="0" applyFont="1"/>
    <xf numFmtId="4" fontId="0" fillId="0" borderId="0" xfId="0" applyNumberFormat="1"/>
    <xf numFmtId="10" fontId="0" fillId="0" borderId="0" xfId="0" applyNumberFormat="1"/>
    <xf numFmtId="39" fontId="0" fillId="0" borderId="0" xfId="0" applyNumberFormat="1"/>
    <xf numFmtId="0" fontId="6" fillId="0" borderId="0" xfId="0" applyFont="1"/>
    <xf numFmtId="4" fontId="4" fillId="0" borderId="0" xfId="0" applyNumberFormat="1" applyFont="1"/>
    <xf numFmtId="164" fontId="4" fillId="0" borderId="0" xfId="0" applyNumberFormat="1" applyFont="1"/>
    <xf numFmtId="10" fontId="4" fillId="0" borderId="1" xfId="0" applyNumberFormat="1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7" fontId="4" fillId="0" borderId="1" xfId="0" applyNumberFormat="1" applyFont="1" applyBorder="1"/>
    <xf numFmtId="7" fontId="0" fillId="0" borderId="0" xfId="0" applyNumberFormat="1"/>
    <xf numFmtId="7" fontId="4" fillId="0" borderId="4" xfId="0" applyNumberFormat="1" applyFont="1" applyBorder="1"/>
    <xf numFmtId="0" fontId="2" fillId="0" borderId="0" xfId="0" applyFont="1"/>
    <xf numFmtId="44" fontId="2" fillId="0" borderId="0" xfId="1" applyFont="1" applyFill="1" applyBorder="1"/>
    <xf numFmtId="0" fontId="6" fillId="0" borderId="0" xfId="2" applyFont="1"/>
    <xf numFmtId="0" fontId="2" fillId="0" borderId="0" xfId="2"/>
    <xf numFmtId="0" fontId="9" fillId="0" borderId="0" xfId="2" applyFont="1" applyAlignment="1">
      <alignment horizontal="center"/>
    </xf>
    <xf numFmtId="0" fontId="3" fillId="0" borderId="0" xfId="2" applyFont="1"/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" wrapText="1"/>
    </xf>
    <xf numFmtId="0" fontId="4" fillId="0" borderId="0" xfId="2" applyFont="1"/>
    <xf numFmtId="4" fontId="2" fillId="0" borderId="0" xfId="2" applyNumberFormat="1"/>
    <xf numFmtId="164" fontId="2" fillId="0" borderId="0" xfId="2" applyNumberFormat="1"/>
    <xf numFmtId="4" fontId="4" fillId="0" borderId="0" xfId="2" applyNumberFormat="1" applyFont="1"/>
    <xf numFmtId="10" fontId="2" fillId="0" borderId="0" xfId="2" applyNumberFormat="1"/>
    <xf numFmtId="165" fontId="0" fillId="0" borderId="0" xfId="3" applyNumberFormat="1" applyFont="1"/>
    <xf numFmtId="39" fontId="2" fillId="0" borderId="0" xfId="2" applyNumberFormat="1"/>
    <xf numFmtId="43" fontId="2" fillId="0" borderId="0" xfId="2" applyNumberFormat="1"/>
    <xf numFmtId="7" fontId="4" fillId="0" borderId="1" xfId="2" applyNumberFormat="1" applyFont="1" applyBorder="1"/>
    <xf numFmtId="164" fontId="4" fillId="0" borderId="0" xfId="2" applyNumberFormat="1" applyFont="1"/>
    <xf numFmtId="10" fontId="4" fillId="0" borderId="1" xfId="2" applyNumberFormat="1" applyFont="1" applyBorder="1"/>
    <xf numFmtId="165" fontId="4" fillId="0" borderId="1" xfId="3" applyNumberFormat="1" applyFont="1" applyBorder="1"/>
    <xf numFmtId="44" fontId="2" fillId="0" borderId="0" xfId="2" applyNumberFormat="1"/>
    <xf numFmtId="7" fontId="4" fillId="0" borderId="4" xfId="2" applyNumberFormat="1" applyFont="1" applyBorder="1"/>
    <xf numFmtId="10" fontId="4" fillId="0" borderId="4" xfId="2" applyNumberFormat="1" applyFont="1" applyBorder="1"/>
    <xf numFmtId="165" fontId="4" fillId="0" borderId="4" xfId="3" applyNumberFormat="1" applyFont="1" applyBorder="1"/>
    <xf numFmtId="43" fontId="2" fillId="0" borderId="3" xfId="2" applyNumberFormat="1" applyBorder="1"/>
    <xf numFmtId="39" fontId="2" fillId="0" borderId="3" xfId="2" applyNumberFormat="1" applyBorder="1"/>
    <xf numFmtId="10" fontId="2" fillId="0" borderId="3" xfId="2" applyNumberFormat="1" applyBorder="1"/>
    <xf numFmtId="165" fontId="0" fillId="0" borderId="3" xfId="3" applyNumberFormat="1" applyFont="1" applyBorder="1"/>
    <xf numFmtId="7" fontId="4" fillId="0" borderId="0" xfId="2" applyNumberFormat="1" applyFont="1"/>
    <xf numFmtId="10" fontId="4" fillId="0" borderId="0" xfId="2" applyNumberFormat="1" applyFont="1"/>
    <xf numFmtId="165" fontId="4" fillId="0" borderId="0" xfId="3" applyNumberFormat="1" applyFont="1" applyBorder="1"/>
    <xf numFmtId="10" fontId="2" fillId="0" borderId="0" xfId="2" applyNumberFormat="1" applyAlignment="1">
      <alignment horizontal="right"/>
    </xf>
    <xf numFmtId="7" fontId="4" fillId="0" borderId="2" xfId="2" applyNumberFormat="1" applyFont="1" applyBorder="1"/>
    <xf numFmtId="10" fontId="4" fillId="0" borderId="2" xfId="2" applyNumberFormat="1" applyFont="1" applyBorder="1"/>
    <xf numFmtId="165" fontId="4" fillId="0" borderId="2" xfId="3" applyNumberFormat="1" applyFont="1" applyBorder="1"/>
    <xf numFmtId="7" fontId="4" fillId="0" borderId="3" xfId="2" applyNumberFormat="1" applyFont="1" applyBorder="1"/>
    <xf numFmtId="10" fontId="4" fillId="0" borderId="3" xfId="2" applyNumberFormat="1" applyFont="1" applyBorder="1"/>
    <xf numFmtId="165" fontId="4" fillId="0" borderId="3" xfId="3" applyNumberFormat="1" applyFont="1" applyBorder="1"/>
    <xf numFmtId="0" fontId="2" fillId="2" borderId="0" xfId="2" applyFill="1"/>
    <xf numFmtId="44" fontId="2" fillId="0" borderId="0" xfId="1" applyFill="1"/>
    <xf numFmtId="44" fontId="2" fillId="0" borderId="0" xfId="1" applyFont="1" applyBorder="1"/>
    <xf numFmtId="44" fontId="2" fillId="0" borderId="0" xfId="1" applyFont="1"/>
    <xf numFmtId="44" fontId="2" fillId="0" borderId="0" xfId="1"/>
    <xf numFmtId="44" fontId="2" fillId="0" borderId="0" xfId="1" applyFont="1" applyFill="1"/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 wrapText="1"/>
    </xf>
    <xf numFmtId="43" fontId="2" fillId="0" borderId="0" xfId="1" applyNumberFormat="1" applyFill="1"/>
    <xf numFmtId="10" fontId="4" fillId="0" borderId="4" xfId="0" applyNumberFormat="1" applyFont="1" applyBorder="1"/>
    <xf numFmtId="39" fontId="2" fillId="0" borderId="0" xfId="0" applyNumberFormat="1" applyFont="1"/>
    <xf numFmtId="0" fontId="3" fillId="0" borderId="0" xfId="0" applyFont="1"/>
    <xf numFmtId="44" fontId="0" fillId="0" borderId="0" xfId="0" applyNumberFormat="1"/>
    <xf numFmtId="43" fontId="2" fillId="0" borderId="0" xfId="0" applyNumberFormat="1" applyFont="1"/>
    <xf numFmtId="0" fontId="10" fillId="0" borderId="0" xfId="0" applyFont="1"/>
    <xf numFmtId="43" fontId="0" fillId="0" borderId="0" xfId="47" applyFont="1" applyFill="1" applyBorder="1"/>
    <xf numFmtId="43" fontId="0" fillId="0" borderId="0" xfId="0" applyNumberFormat="1"/>
    <xf numFmtId="164" fontId="0" fillId="0" borderId="0" xfId="0" applyNumberFormat="1"/>
    <xf numFmtId="44" fontId="0" fillId="0" borderId="0" xfId="1" applyFont="1" applyFill="1"/>
    <xf numFmtId="10" fontId="4" fillId="0" borderId="2" xfId="0" applyNumberFormat="1" applyFont="1" applyBorder="1"/>
    <xf numFmtId="7" fontId="4" fillId="0" borderId="0" xfId="0" applyNumberFormat="1" applyFont="1"/>
    <xf numFmtId="10" fontId="4" fillId="0" borderId="0" xfId="0" applyNumberFormat="1" applyFont="1"/>
    <xf numFmtId="43" fontId="6" fillId="0" borderId="0" xfId="47" applyFont="1" applyFill="1" applyBorder="1"/>
    <xf numFmtId="43" fontId="3" fillId="0" borderId="0" xfId="47" applyFont="1" applyFill="1" applyBorder="1"/>
    <xf numFmtId="43" fontId="0" fillId="0" borderId="0" xfId="47" applyFont="1" applyFill="1"/>
    <xf numFmtId="4" fontId="2" fillId="0" borderId="0" xfId="0" applyNumberFormat="1" applyFont="1"/>
    <xf numFmtId="164" fontId="2" fillId="0" borderId="0" xfId="0" applyNumberFormat="1" applyFont="1"/>
    <xf numFmtId="43" fontId="2" fillId="0" borderId="0" xfId="47" applyFont="1" applyFill="1"/>
    <xf numFmtId="43" fontId="4" fillId="0" borderId="0" xfId="47" applyFont="1" applyFill="1"/>
    <xf numFmtId="10" fontId="2" fillId="0" borderId="0" xfId="0" applyNumberFormat="1" applyFont="1"/>
    <xf numFmtId="39" fontId="2" fillId="0" borderId="3" xfId="0" applyNumberFormat="1" applyFont="1" applyBorder="1"/>
    <xf numFmtId="7" fontId="2" fillId="0" borderId="0" xfId="0" applyNumberFormat="1" applyFont="1"/>
    <xf numFmtId="40" fontId="2" fillId="0" borderId="0" xfId="0" applyNumberFormat="1" applyFont="1"/>
    <xf numFmtId="0" fontId="4" fillId="0" borderId="0" xfId="0" applyFont="1" applyAlignment="1">
      <alignment horizontal="center"/>
    </xf>
    <xf numFmtId="0" fontId="0" fillId="34" borderId="0" xfId="0" applyFill="1"/>
    <xf numFmtId="0" fontId="8" fillId="34" borderId="0" xfId="0" applyFont="1" applyFill="1" applyAlignment="1">
      <alignment horizontal="center"/>
    </xf>
    <xf numFmtId="0" fontId="8" fillId="34" borderId="0" xfId="0" applyFont="1" applyFill="1" applyAlignment="1">
      <alignment horizontal="center" wrapText="1"/>
    </xf>
    <xf numFmtId="0" fontId="4" fillId="34" borderId="0" xfId="0" applyFont="1" applyFill="1"/>
    <xf numFmtId="44" fontId="2" fillId="34" borderId="0" xfId="1" applyFont="1" applyFill="1"/>
    <xf numFmtId="44" fontId="0" fillId="34" borderId="0" xfId="0" applyNumberFormat="1" applyFill="1"/>
    <xf numFmtId="10" fontId="0" fillId="34" borderId="0" xfId="0" applyNumberFormat="1" applyFill="1"/>
    <xf numFmtId="43" fontId="2" fillId="34" borderId="0" xfId="0" applyNumberFormat="1" applyFont="1" applyFill="1"/>
    <xf numFmtId="39" fontId="0" fillId="34" borderId="0" xfId="0" applyNumberFormat="1" applyFill="1"/>
    <xf numFmtId="4" fontId="0" fillId="34" borderId="0" xfId="0" applyNumberFormat="1" applyFill="1"/>
    <xf numFmtId="44" fontId="4" fillId="34" borderId="4" xfId="0" applyNumberFormat="1" applyFont="1" applyFill="1" applyBorder="1"/>
    <xf numFmtId="4" fontId="4" fillId="34" borderId="0" xfId="0" applyNumberFormat="1" applyFont="1" applyFill="1"/>
    <xf numFmtId="164" fontId="4" fillId="34" borderId="0" xfId="0" applyNumberFormat="1" applyFont="1" applyFill="1"/>
    <xf numFmtId="10" fontId="4" fillId="34" borderId="4" xfId="0" applyNumberFormat="1" applyFont="1" applyFill="1" applyBorder="1"/>
    <xf numFmtId="0" fontId="9" fillId="0" borderId="0" xfId="0" applyFont="1" applyAlignment="1">
      <alignment horizontal="center"/>
    </xf>
    <xf numFmtId="43" fontId="32" fillId="0" borderId="0" xfId="47" applyFont="1"/>
    <xf numFmtId="0" fontId="33" fillId="0" borderId="0" xfId="0" applyFont="1"/>
    <xf numFmtId="10" fontId="4" fillId="0" borderId="3" xfId="0" applyNumberFormat="1" applyFont="1" applyBorder="1"/>
    <xf numFmtId="7" fontId="2" fillId="0" borderId="0" xfId="1" applyNumberFormat="1" applyFont="1" applyFill="1" applyBorder="1"/>
    <xf numFmtId="43" fontId="0" fillId="0" borderId="0" xfId="47" applyFont="1"/>
    <xf numFmtId="43" fontId="2" fillId="0" borderId="0" xfId="47" applyFont="1"/>
    <xf numFmtId="43" fontId="2" fillId="0" borderId="3" xfId="47" applyFont="1" applyBorder="1"/>
    <xf numFmtId="44" fontId="4" fillId="0" borderId="2" xfId="1" applyFont="1" applyBorder="1"/>
    <xf numFmtId="44" fontId="4" fillId="0" borderId="0" xfId="1" applyFont="1"/>
    <xf numFmtId="43" fontId="0" fillId="0" borderId="0" xfId="47" applyFont="1" applyAlignment="1">
      <alignment horizontal="left"/>
    </xf>
    <xf numFmtId="43" fontId="32" fillId="0" borderId="0" xfId="47" applyFont="1" applyFill="1"/>
    <xf numFmtId="44" fontId="4" fillId="0" borderId="1" xfId="1" applyFont="1" applyBorder="1"/>
    <xf numFmtId="44" fontId="0" fillId="0" borderId="0" xfId="1" applyFont="1"/>
    <xf numFmtId="44" fontId="4" fillId="0" borderId="4" xfId="1" applyFont="1" applyBorder="1"/>
    <xf numFmtId="44" fontId="4" fillId="0" borderId="3" xfId="1" applyFont="1" applyBorder="1"/>
    <xf numFmtId="44" fontId="2" fillId="35" borderId="0" xfId="1" applyFont="1" applyFill="1"/>
    <xf numFmtId="43" fontId="0" fillId="35" borderId="0" xfId="47" applyFont="1" applyFill="1"/>
    <xf numFmtId="44" fontId="0" fillId="35" borderId="0" xfId="1" applyFont="1" applyFill="1"/>
    <xf numFmtId="43" fontId="0" fillId="35" borderId="0" xfId="47" applyFont="1" applyFill="1" applyAlignment="1">
      <alignment horizontal="left"/>
    </xf>
    <xf numFmtId="43" fontId="32" fillId="35" borderId="0" xfId="47" applyFont="1" applyFill="1"/>
    <xf numFmtId="44" fontId="0" fillId="35" borderId="0" xfId="1" applyFont="1" applyFill="1" applyAlignment="1">
      <alignment horizontal="left"/>
    </xf>
    <xf numFmtId="43" fontId="2" fillId="35" borderId="0" xfId="47" applyFont="1" applyFill="1"/>
    <xf numFmtId="0" fontId="34" fillId="0" borderId="0" xfId="0" applyFont="1"/>
    <xf numFmtId="44" fontId="4" fillId="0" borderId="4" xfId="1" applyFont="1" applyFill="1" applyBorder="1"/>
    <xf numFmtId="44" fontId="4" fillId="0" borderId="0" xfId="1" applyFont="1" applyFill="1"/>
    <xf numFmtId="44" fontId="32" fillId="35" borderId="0" xfId="0" applyNumberFormat="1" applyFont="1" applyFill="1"/>
    <xf numFmtId="44" fontId="4" fillId="35" borderId="3" xfId="1" applyFont="1" applyFill="1" applyBorder="1"/>
    <xf numFmtId="0" fontId="35" fillId="0" borderId="0" xfId="0" applyFont="1" applyAlignment="1">
      <alignment vertical="center"/>
    </xf>
    <xf numFmtId="0" fontId="35" fillId="36" borderId="0" xfId="0" applyFont="1" applyFill="1" applyAlignment="1">
      <alignment vertical="center"/>
    </xf>
    <xf numFmtId="43" fontId="0" fillId="36" borderId="0" xfId="47" applyFont="1" applyFill="1"/>
    <xf numFmtId="43" fontId="0" fillId="37" borderId="0" xfId="47" applyFont="1" applyFill="1"/>
    <xf numFmtId="0" fontId="35" fillId="37" borderId="0" xfId="0" applyFont="1" applyFill="1" applyAlignment="1">
      <alignment vertical="center"/>
    </xf>
    <xf numFmtId="0" fontId="35" fillId="38" borderId="0" xfId="0" applyFont="1" applyFill="1" applyAlignment="1">
      <alignment vertical="center"/>
    </xf>
    <xf numFmtId="43" fontId="0" fillId="38" borderId="0" xfId="47" applyFont="1" applyFill="1"/>
    <xf numFmtId="43" fontId="33" fillId="0" borderId="0" xfId="47" applyFont="1"/>
    <xf numFmtId="0" fontId="35" fillId="34" borderId="0" xfId="0" applyFont="1" applyFill="1" applyAlignment="1">
      <alignment vertical="center"/>
    </xf>
    <xf numFmtId="4" fontId="3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35" borderId="0" xfId="0" applyFont="1" applyFill="1" applyAlignment="1">
      <alignment horizontal="center"/>
    </xf>
    <xf numFmtId="0" fontId="9" fillId="34" borderId="0" xfId="0" applyFont="1" applyFill="1" applyAlignment="1">
      <alignment horizontal="center"/>
    </xf>
    <xf numFmtId="0" fontId="4" fillId="34" borderId="0" xfId="0" applyFont="1" applyFill="1" applyAlignment="1">
      <alignment horizontal="center"/>
    </xf>
    <xf numFmtId="0" fontId="5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7" fillId="0" borderId="0" xfId="2" applyFont="1" applyAlignment="1">
      <alignment horizontal="center"/>
    </xf>
  </cellXfs>
  <cellStyles count="48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47" builtinId="3"/>
    <cellStyle name="Comma 2" xfId="45" xr:uid="{00000000-0005-0000-0000-00001C000000}"/>
    <cellStyle name="Currency" xfId="1" builtinId="4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28000000}"/>
    <cellStyle name="Normal 3" xfId="44" xr:uid="{00000000-0005-0000-0000-000029000000}"/>
    <cellStyle name="Note 2" xfId="46" xr:uid="{00000000-0005-0000-0000-00002A000000}"/>
    <cellStyle name="Output" xfId="13" builtinId="21" customBuiltin="1"/>
    <cellStyle name="Percent" xfId="3" builtinId="5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0066CC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anae Hempe" id="{F8A498FC-BB2F-4BF6-991A-0B9DE1454C8A}" userId="S::ganae.hempe@wilco.org::f742fe51-4cfb-4104-88ea-441c173e022a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8" dT="2023-03-20T21:26:31.84" personId="{F8A498FC-BB2F-4BF6-991A-0B9DE1454C8A}" id="{93D3F6B0-E398-4309-99C7-32FB2EAE5F39}">
    <text>Original budget should only change annually, following adoption.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7" dT="2023-03-20T21:33:58.33" personId="{F8A498FC-BB2F-4BF6-991A-0B9DE1454C8A}" id="{19F349B0-8C75-4DD2-8069-E46DC962EF01}">
    <text>Original budget should only change annually, following adoption.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F7" dT="2023-03-20T21:34:10.47" personId="{F8A498FC-BB2F-4BF6-991A-0B9DE1454C8A}" id="{CE7940B9-56B1-4BE2-BCB3-325CCB723EF1}">
    <text>Original budget should only change annually, following adoption.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4"/>
  <sheetViews>
    <sheetView zoomScale="130" zoomScaleNormal="130" workbookViewId="0">
      <selection activeCell="J15" sqref="J15"/>
    </sheetView>
  </sheetViews>
  <sheetFormatPr defaultColWidth="9.109375" defaultRowHeight="13.2"/>
  <cols>
    <col min="1" max="1" width="2.5546875" customWidth="1"/>
    <col min="2" max="2" width="1.6640625" customWidth="1"/>
    <col min="3" max="3" width="1" customWidth="1"/>
    <col min="4" max="4" width="1.6640625" customWidth="1"/>
    <col min="5" max="5" width="23.109375" customWidth="1"/>
    <col min="6" max="6" width="16" style="14" bestFit="1" customWidth="1"/>
    <col min="7" max="7" width="0.88671875" style="14" customWidth="1"/>
    <col min="8" max="8" width="16" style="14" bestFit="1" customWidth="1"/>
    <col min="9" max="9" width="0.6640625" style="14" customWidth="1"/>
    <col min="10" max="10" width="16" style="14" bestFit="1" customWidth="1"/>
    <col min="11" max="11" width="1" customWidth="1"/>
    <col min="12" max="12" width="16.109375" bestFit="1" customWidth="1"/>
    <col min="13" max="13" width="1" customWidth="1"/>
    <col min="14" max="14" width="10.88671875" customWidth="1"/>
    <col min="15" max="15" width="16.5546875" style="76" customWidth="1"/>
  </cols>
  <sheetData>
    <row r="1" spans="1:15">
      <c r="A1" t="str" cm="1">
        <f t="array" aca="1" ref="A1" ca="1">CELL("filename")</f>
        <v>C:\Users\nzinsmeyer\AppData\Local\Microsoft\Windows\INetCache\Content.Outlook\NZ8NN1ME\[Mar 26 FINANCIAL REPORT unaudited_UPDATED.xlsx]R&amp;B and Debt Svc</v>
      </c>
    </row>
    <row r="3" spans="1:15" s="5" customFormat="1" ht="17.399999999999999">
      <c r="B3" s="141" t="s">
        <v>22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74"/>
    </row>
    <row r="4" spans="1:15">
      <c r="B4" s="140" t="s">
        <v>30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67"/>
    </row>
    <row r="5" spans="1:15" ht="13.95" customHeight="1">
      <c r="B5" s="142" t="s">
        <v>465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67"/>
    </row>
    <row r="6" spans="1:15" s="63" customFormat="1" ht="10.95" customHeight="1">
      <c r="B6" s="140" t="s">
        <v>39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75"/>
    </row>
    <row r="7" spans="1:15" s="63" customFormat="1" ht="10.95" customHeight="1"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75"/>
    </row>
    <row r="8" spans="1:15" s="63" customFormat="1" ht="10.95" customHeight="1"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75"/>
    </row>
    <row r="9" spans="1:15" ht="54.6" customHeight="1">
      <c r="B9" s="14"/>
      <c r="C9" s="14"/>
      <c r="D9" s="14"/>
      <c r="E9" s="14"/>
      <c r="F9" s="9" t="s">
        <v>23</v>
      </c>
      <c r="G9" s="9"/>
      <c r="H9" s="9" t="s">
        <v>24</v>
      </c>
      <c r="I9" s="9"/>
      <c r="J9" s="9" t="s">
        <v>0</v>
      </c>
      <c r="K9" s="9"/>
      <c r="L9" s="10" t="s">
        <v>1</v>
      </c>
      <c r="M9" s="10"/>
      <c r="N9" s="10" t="s">
        <v>2</v>
      </c>
    </row>
    <row r="10" spans="1:15">
      <c r="B10" s="22" t="s">
        <v>34</v>
      </c>
      <c r="C10" s="17"/>
      <c r="D10" s="17"/>
      <c r="E10" s="17"/>
      <c r="K10" s="14"/>
      <c r="L10" s="14"/>
      <c r="M10" s="14"/>
      <c r="N10" s="14"/>
    </row>
    <row r="11" spans="1:15">
      <c r="B11" s="22"/>
      <c r="C11" s="17" t="s">
        <v>35</v>
      </c>
      <c r="D11" s="17"/>
      <c r="E11" s="17"/>
      <c r="F11" s="104">
        <f>'GF REPORT REV'!F13</f>
        <v>308075789</v>
      </c>
      <c r="G11" s="77"/>
      <c r="H11" s="104">
        <f>'GF REPORT REV'!H13</f>
        <v>308075789</v>
      </c>
      <c r="I11" s="78"/>
      <c r="J11" s="104">
        <f>'GF REPORT REV'!J13</f>
        <v>304444510.52999997</v>
      </c>
      <c r="K11" s="78"/>
      <c r="L11" s="62">
        <f t="shared" ref="L11:L16" si="0">H11-J11</f>
        <v>3631278.4700000286</v>
      </c>
      <c r="M11" s="6"/>
      <c r="N11" s="81">
        <f t="shared" ref="N11:N17" si="1">L11/H11</f>
        <v>1.178696476534879E-2</v>
      </c>
      <c r="O11" s="79" t="s">
        <v>43</v>
      </c>
    </row>
    <row r="12" spans="1:15">
      <c r="B12" s="17"/>
      <c r="C12" s="17" t="s">
        <v>75</v>
      </c>
      <c r="D12" s="17"/>
      <c r="E12" s="17"/>
      <c r="F12" s="62">
        <f>'GF REPORT REV'!F30</f>
        <v>18821285</v>
      </c>
      <c r="G12" s="65"/>
      <c r="H12" s="62">
        <f>'GF REPORT REV'!H30</f>
        <v>18821285</v>
      </c>
      <c r="I12" s="65"/>
      <c r="J12" s="62">
        <f>'GF REPORT REV'!J30</f>
        <v>5324780.53</v>
      </c>
      <c r="K12" s="78"/>
      <c r="L12" s="62">
        <f t="shared" si="0"/>
        <v>13496504.469999999</v>
      </c>
      <c r="M12" s="6"/>
      <c r="N12" s="81">
        <f t="shared" si="1"/>
        <v>0.7170873014249558</v>
      </c>
    </row>
    <row r="13" spans="1:15">
      <c r="B13" s="17"/>
      <c r="C13" s="17" t="s">
        <v>76</v>
      </c>
      <c r="D13" s="17"/>
      <c r="E13" s="17"/>
      <c r="F13" s="62">
        <f>'GF REPORT REV'!F39</f>
        <v>2409500</v>
      </c>
      <c r="G13" s="65"/>
      <c r="H13" s="62">
        <f>'GF REPORT REV'!H39</f>
        <v>2409500</v>
      </c>
      <c r="I13" s="65"/>
      <c r="J13" s="62">
        <f>'GF REPORT REV'!J39</f>
        <v>1162188.8900000001</v>
      </c>
      <c r="K13" s="78"/>
      <c r="L13" s="62">
        <f t="shared" si="0"/>
        <v>1247311.1099999999</v>
      </c>
      <c r="M13" s="6"/>
      <c r="N13" s="81">
        <f t="shared" si="1"/>
        <v>0.51766387632288846</v>
      </c>
    </row>
    <row r="14" spans="1:15">
      <c r="B14" s="17"/>
      <c r="C14" s="17" t="s">
        <v>77</v>
      </c>
      <c r="D14" s="17"/>
      <c r="E14" s="17"/>
      <c r="F14" s="62">
        <f>'GF REPORT REV'!F47</f>
        <v>22578374</v>
      </c>
      <c r="G14" s="65"/>
      <c r="H14" s="62">
        <f>'GF REPORT REV'!H47</f>
        <v>22578374</v>
      </c>
      <c r="I14" s="65"/>
      <c r="J14" s="62">
        <f>'GF REPORT REV'!J47</f>
        <v>10852225.420000002</v>
      </c>
      <c r="K14" s="78"/>
      <c r="L14" s="62">
        <f t="shared" si="0"/>
        <v>11726148.579999998</v>
      </c>
      <c r="M14" s="6"/>
      <c r="N14" s="81">
        <f t="shared" si="1"/>
        <v>0.51935310222073561</v>
      </c>
    </row>
    <row r="15" spans="1:15">
      <c r="B15" s="17"/>
      <c r="C15" s="17" t="s">
        <v>18</v>
      </c>
      <c r="D15" s="17"/>
      <c r="E15" s="17"/>
      <c r="F15" s="62">
        <f>'GF REPORT REV'!F52</f>
        <v>3669310</v>
      </c>
      <c r="G15" s="65"/>
      <c r="H15" s="62">
        <f>'GF REPORT REV'!H52</f>
        <v>3781810</v>
      </c>
      <c r="I15" s="65"/>
      <c r="J15" s="62">
        <f>'GF REPORT REV'!J52</f>
        <v>-2359090.29</v>
      </c>
      <c r="K15" s="78"/>
      <c r="L15" s="62">
        <f t="shared" si="0"/>
        <v>6140900.29</v>
      </c>
      <c r="M15" s="6"/>
      <c r="N15" s="81">
        <f t="shared" si="1"/>
        <v>1.6237992627868667</v>
      </c>
      <c r="O15" s="80"/>
    </row>
    <row r="16" spans="1:15">
      <c r="B16" s="17"/>
      <c r="C16" s="17" t="s">
        <v>78</v>
      </c>
      <c r="D16" s="17"/>
      <c r="E16" s="17"/>
      <c r="F16" s="62">
        <f>'GF REPORT REV'!F60</f>
        <v>14533734</v>
      </c>
      <c r="G16" s="65"/>
      <c r="H16" s="62">
        <f>'GF REPORT REV'!H60</f>
        <v>14534358</v>
      </c>
      <c r="I16" s="65"/>
      <c r="J16" s="62">
        <f>'GF REPORT REV'!J60</f>
        <v>8628200.7300000004</v>
      </c>
      <c r="K16" s="78"/>
      <c r="L16" s="62">
        <f t="shared" si="0"/>
        <v>5906157.2699999996</v>
      </c>
      <c r="M16" s="6"/>
      <c r="N16" s="81">
        <f t="shared" si="1"/>
        <v>0.4063583179938185</v>
      </c>
    </row>
    <row r="17" spans="2:15" s="1" customFormat="1" ht="13.8" thickBot="1">
      <c r="B17" s="22"/>
      <c r="C17" s="22"/>
      <c r="D17" s="22" t="s">
        <v>41</v>
      </c>
      <c r="E17" s="22"/>
      <c r="F17" s="11">
        <f>SUM(F11:F16)</f>
        <v>370087992</v>
      </c>
      <c r="G17" s="7"/>
      <c r="H17" s="11">
        <f>SUM(H11:H16)</f>
        <v>370201116</v>
      </c>
      <c r="I17" s="7"/>
      <c r="J17" s="11">
        <f>SUM(J11:J16)</f>
        <v>328052815.80999994</v>
      </c>
      <c r="K17" s="7"/>
      <c r="L17" s="11">
        <f>SUM(L11:L16)</f>
        <v>42148300.190000027</v>
      </c>
      <c r="M17" s="6"/>
      <c r="N17" s="8">
        <f t="shared" si="1"/>
        <v>0.11385243957503366</v>
      </c>
      <c r="O17" s="80"/>
    </row>
    <row r="18" spans="2:15" s="1" customFormat="1" ht="13.8" thickTop="1">
      <c r="F18" s="14"/>
      <c r="G18" s="14"/>
      <c r="H18" s="14"/>
      <c r="I18" s="14"/>
      <c r="J18" s="14" t="s">
        <v>43</v>
      </c>
      <c r="K18" s="14"/>
      <c r="L18" s="14"/>
      <c r="M18" s="14"/>
      <c r="N18" s="14"/>
      <c r="O18" s="80"/>
    </row>
    <row r="19" spans="2:15" s="1" customFormat="1">
      <c r="F19" s="14"/>
      <c r="G19" s="14"/>
      <c r="H19" s="14"/>
      <c r="I19" s="14"/>
      <c r="J19" s="72" t="s">
        <v>43</v>
      </c>
      <c r="K19" s="14"/>
      <c r="L19" s="14"/>
      <c r="M19" s="14"/>
      <c r="N19" s="14"/>
      <c r="O19" s="80"/>
    </row>
    <row r="20" spans="2:15" s="1" customFormat="1">
      <c r="F20" s="14"/>
      <c r="G20" s="14"/>
      <c r="H20" s="14"/>
      <c r="I20" s="14"/>
      <c r="J20" s="14" t="s">
        <v>43</v>
      </c>
      <c r="K20" s="14"/>
      <c r="L20" s="14"/>
      <c r="M20" s="14"/>
      <c r="N20" s="14"/>
      <c r="O20" s="80"/>
    </row>
    <row r="21" spans="2:15" s="1" customFormat="1">
      <c r="F21" s="14"/>
      <c r="G21" s="14"/>
      <c r="H21" s="14"/>
      <c r="I21" s="14"/>
      <c r="J21" s="14"/>
      <c r="K21" s="14"/>
      <c r="L21" s="14"/>
      <c r="M21" s="14"/>
      <c r="N21" s="14"/>
      <c r="O21" s="80"/>
    </row>
    <row r="22" spans="2:15">
      <c r="B22" s="14"/>
      <c r="C22" s="14"/>
      <c r="D22" s="14"/>
      <c r="E22" s="14"/>
      <c r="K22" s="14"/>
      <c r="L22" s="14"/>
      <c r="M22" s="14"/>
      <c r="N22" s="14"/>
    </row>
    <row r="23" spans="2:15" ht="26.4">
      <c r="B23" s="14"/>
      <c r="C23" s="14"/>
      <c r="D23" s="14"/>
      <c r="E23" s="14"/>
      <c r="F23" s="9" t="s">
        <v>23</v>
      </c>
      <c r="G23" s="9"/>
      <c r="H23" s="9" t="s">
        <v>24</v>
      </c>
      <c r="I23" s="9"/>
      <c r="J23" s="10" t="s">
        <v>11</v>
      </c>
      <c r="K23" s="9"/>
      <c r="L23" s="10" t="s">
        <v>12</v>
      </c>
      <c r="M23" s="10"/>
      <c r="N23" s="10" t="s">
        <v>13</v>
      </c>
    </row>
    <row r="24" spans="2:15">
      <c r="B24" s="22" t="s">
        <v>10</v>
      </c>
      <c r="C24" s="17"/>
      <c r="D24" s="17"/>
      <c r="E24" s="17"/>
      <c r="K24" s="14"/>
      <c r="L24" s="14"/>
      <c r="M24" s="14"/>
      <c r="N24" s="14"/>
    </row>
    <row r="25" spans="2:15">
      <c r="B25" s="17"/>
      <c r="C25" s="17" t="s">
        <v>79</v>
      </c>
      <c r="D25" s="17"/>
      <c r="E25" s="17"/>
      <c r="F25" s="15">
        <f>'GF REPORT EXP'!F31</f>
        <v>155291608.41</v>
      </c>
      <c r="G25" s="77">
        <v>26379064.899999999</v>
      </c>
      <c r="H25" s="15">
        <f>'GF REPORT EXP'!H31</f>
        <v>220534875.62</v>
      </c>
      <c r="I25" s="78"/>
      <c r="J25" s="15">
        <f>'GF REPORT EXP'!J31</f>
        <v>76346686.459999993</v>
      </c>
      <c r="K25" s="78"/>
      <c r="L25" s="15">
        <f>H25-J25</f>
        <v>144188189.16000003</v>
      </c>
      <c r="M25" s="77"/>
      <c r="N25" s="81">
        <f>L25/H25</f>
        <v>0.6538112793028179</v>
      </c>
    </row>
    <row r="26" spans="2:15">
      <c r="B26" s="17"/>
      <c r="C26" s="17" t="s">
        <v>36</v>
      </c>
      <c r="D26" s="17"/>
      <c r="E26" s="17"/>
      <c r="F26" s="62">
        <f>'GF REPORT EXP'!F51</f>
        <v>176603814.50000003</v>
      </c>
      <c r="G26" s="65"/>
      <c r="H26" s="62">
        <f>'GF REPORT EXP'!H51</f>
        <v>176578420.94</v>
      </c>
      <c r="I26" s="65"/>
      <c r="J26" s="62">
        <f>'GF REPORT EXP'!J51</f>
        <v>90105854.179999992</v>
      </c>
      <c r="K26" s="78"/>
      <c r="L26" s="62">
        <f>H26-J26</f>
        <v>86472566.760000005</v>
      </c>
      <c r="M26" s="77"/>
      <c r="N26" s="81">
        <f>L26/H26</f>
        <v>0.48971197216325046</v>
      </c>
      <c r="O26" s="80"/>
    </row>
    <row r="27" spans="2:15">
      <c r="B27" s="17"/>
      <c r="C27" s="17" t="s">
        <v>37</v>
      </c>
      <c r="D27" s="17"/>
      <c r="E27" s="17"/>
      <c r="F27" s="62">
        <f>'GF REPORT EXP'!F80</f>
        <v>50629460.519999996</v>
      </c>
      <c r="G27" s="65"/>
      <c r="H27" s="62">
        <f>'GF REPORT EXP'!H80</f>
        <v>50939350.510000005</v>
      </c>
      <c r="I27" s="65"/>
      <c r="J27" s="62">
        <f>'GF REPORT EXP'!J80</f>
        <v>21895737.929999996</v>
      </c>
      <c r="K27" s="78"/>
      <c r="L27" s="62">
        <f>H27-J27</f>
        <v>29043612.580000009</v>
      </c>
      <c r="M27" s="77"/>
      <c r="N27" s="81">
        <f>L27/H27</f>
        <v>0.57016063788050064</v>
      </c>
    </row>
    <row r="28" spans="2:15">
      <c r="B28" s="17"/>
      <c r="C28" s="17" t="s">
        <v>80</v>
      </c>
      <c r="D28" s="17"/>
      <c r="E28" s="17"/>
      <c r="F28" s="62">
        <f>'GF REPORT EXP'!F92</f>
        <v>18676348.470000003</v>
      </c>
      <c r="G28" s="65"/>
      <c r="H28" s="62">
        <f>'GF REPORT EXP'!H92</f>
        <v>18734738.790000003</v>
      </c>
      <c r="I28" s="65"/>
      <c r="J28" s="62">
        <f>'GF REPORT EXP'!J92</f>
        <v>9404375.8699999992</v>
      </c>
      <c r="K28" s="78"/>
      <c r="L28" s="82">
        <f>H28-J28</f>
        <v>9330362.9200000037</v>
      </c>
      <c r="M28" s="77"/>
      <c r="N28" s="81">
        <f>L28/H28</f>
        <v>0.49802471358609224</v>
      </c>
    </row>
    <row r="29" spans="2:15" s="1" customFormat="1" ht="13.8" thickBot="1">
      <c r="B29" s="22"/>
      <c r="C29" s="22"/>
      <c r="D29" s="22"/>
      <c r="E29" s="22" t="s">
        <v>81</v>
      </c>
      <c r="F29" s="11">
        <f>SUM(F25:F28)</f>
        <v>401201231.90000004</v>
      </c>
      <c r="G29" s="7"/>
      <c r="H29" s="11">
        <f>SUM(H25:H28)</f>
        <v>466787385.86000001</v>
      </c>
      <c r="I29" s="7"/>
      <c r="J29" s="11">
        <f>SUM(J25:J28)</f>
        <v>197752654.44</v>
      </c>
      <c r="K29" s="7"/>
      <c r="L29" s="11">
        <f>SUM(L25:L28)</f>
        <v>269034731.42000002</v>
      </c>
      <c r="N29" s="8">
        <f>L29/H29</f>
        <v>0.57635390237535156</v>
      </c>
      <c r="O29" s="80"/>
    </row>
    <row r="30" spans="2:15" ht="13.8" thickTop="1">
      <c r="B30" s="1"/>
      <c r="C30" s="1"/>
      <c r="D30" s="1"/>
      <c r="E30" s="14"/>
      <c r="K30" s="14"/>
      <c r="L30" s="14"/>
      <c r="M30" s="14"/>
      <c r="N30" s="14"/>
    </row>
    <row r="31" spans="2:15">
      <c r="J31" s="83" t="s">
        <v>43</v>
      </c>
      <c r="L31" s="12"/>
    </row>
    <row r="32" spans="2:15">
      <c r="H32" s="79"/>
      <c r="J32" s="83" t="s">
        <v>43</v>
      </c>
    </row>
    <row r="33" spans="8:8">
      <c r="H33" s="79"/>
    </row>
    <row r="34" spans="8:8">
      <c r="H34" s="79"/>
    </row>
    <row r="35" spans="8:8">
      <c r="H35" s="79"/>
    </row>
    <row r="36" spans="8:8">
      <c r="H36" s="79"/>
    </row>
    <row r="37" spans="8:8">
      <c r="H37" s="79"/>
    </row>
    <row r="38" spans="8:8">
      <c r="H38" s="79"/>
    </row>
    <row r="39" spans="8:8">
      <c r="H39" s="79"/>
    </row>
    <row r="40" spans="8:8">
      <c r="H40" s="79"/>
    </row>
    <row r="41" spans="8:8">
      <c r="H41" s="79"/>
    </row>
    <row r="42" spans="8:8">
      <c r="H42" s="79"/>
    </row>
    <row r="43" spans="8:8">
      <c r="H43" s="79"/>
    </row>
    <row r="44" spans="8:8">
      <c r="H44" s="79"/>
    </row>
    <row r="45" spans="8:8">
      <c r="H45" s="79"/>
    </row>
    <row r="46" spans="8:8">
      <c r="H46" s="79"/>
    </row>
    <row r="47" spans="8:8">
      <c r="H47" s="79"/>
    </row>
    <row r="48" spans="8:8">
      <c r="H48" s="79"/>
    </row>
    <row r="49" spans="5:8" ht="17.25" customHeight="1">
      <c r="H49" s="79"/>
    </row>
    <row r="50" spans="5:8">
      <c r="H50" s="79"/>
    </row>
    <row r="51" spans="5:8">
      <c r="H51" s="79"/>
    </row>
    <row r="52" spans="5:8">
      <c r="E52" t="str" cm="1">
        <f t="array" aca="1" ref="E52" ca="1">CELL("filename")</f>
        <v>C:\Users\nzinsmeyer\AppData\Local\Microsoft\Windows\INetCache\Content.Outlook\NZ8NN1ME\[Mar 26 FINANCIAL REPORT unaudited_UPDATED.xlsx]R&amp;B and Debt Svc</v>
      </c>
      <c r="H52" s="79"/>
    </row>
    <row r="53" spans="5:8">
      <c r="H53" s="79"/>
    </row>
    <row r="54" spans="5:8">
      <c r="H54" s="79"/>
    </row>
  </sheetData>
  <mergeCells count="4">
    <mergeCell ref="B3:N3"/>
    <mergeCell ref="B4:N4"/>
    <mergeCell ref="B5:N5"/>
    <mergeCell ref="B6:N6"/>
  </mergeCells>
  <phoneticPr fontId="14" type="noConversion"/>
  <printOptions horizontalCentered="1"/>
  <pageMargins left="0.7" right="0.7" top="0.75" bottom="0.75" header="0.3" footer="0.3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215D1-F8AA-4C96-8606-5739A204F5F2}">
  <sheetPr>
    <tabColor rgb="FFFFFF00"/>
  </sheetPr>
  <dimension ref="A1:Q52"/>
  <sheetViews>
    <sheetView zoomScale="85" zoomScaleNormal="85" workbookViewId="0">
      <pane ySplit="7" topLeftCell="A8" activePane="bottomLeft" state="frozen"/>
      <selection pane="bottomLeft" activeCell="B11" activeCellId="1" sqref="B49 B8:B11"/>
    </sheetView>
  </sheetViews>
  <sheetFormatPr defaultRowHeight="13.2"/>
  <cols>
    <col min="1" max="1" width="44.44140625" bestFit="1" customWidth="1"/>
    <col min="2" max="2" width="24.33203125" style="105" bestFit="1" customWidth="1"/>
    <col min="3" max="3" width="3" style="105" customWidth="1"/>
    <col min="4" max="4" width="25.33203125" style="105" bestFit="1" customWidth="1"/>
    <col min="5" max="5" width="23" style="105" bestFit="1" customWidth="1"/>
    <col min="6" max="6" width="18.88671875" style="105" bestFit="1" customWidth="1"/>
    <col min="7" max="7" width="24.33203125" style="105" bestFit="1" customWidth="1"/>
    <col min="8" max="8" width="17.6640625" style="105" bestFit="1" customWidth="1"/>
    <col min="9" max="9" width="10.6640625" bestFit="1" customWidth="1"/>
    <col min="11" max="11" width="44.44140625" bestFit="1" customWidth="1"/>
    <col min="12" max="12" width="24.33203125" bestFit="1" customWidth="1"/>
    <col min="13" max="13" width="25.33203125" bestFit="1" customWidth="1"/>
    <col min="14" max="14" width="23" bestFit="1" customWidth="1"/>
    <col min="15" max="15" width="18.88671875" bestFit="1" customWidth="1"/>
    <col min="16" max="16" width="24.33203125" bestFit="1" customWidth="1"/>
    <col min="17" max="17" width="17.6640625" bestFit="1" customWidth="1"/>
    <col min="18" max="18" width="10.6640625" bestFit="1" customWidth="1"/>
  </cols>
  <sheetData>
    <row r="1" spans="1:17">
      <c r="A1" s="128"/>
      <c r="D1" s="105" t="s">
        <v>301</v>
      </c>
      <c r="E1" s="105" t="s">
        <v>302</v>
      </c>
      <c r="H1" t="s">
        <v>451</v>
      </c>
      <c r="I1" t="s">
        <v>456</v>
      </c>
      <c r="K1" s="128"/>
    </row>
    <row r="2" spans="1:17">
      <c r="A2" s="128"/>
      <c r="B2" s="105" t="s">
        <v>303</v>
      </c>
      <c r="D2" s="105" t="s">
        <v>304</v>
      </c>
      <c r="E2" s="105" t="s">
        <v>305</v>
      </c>
      <c r="H2"/>
      <c r="I2" t="s">
        <v>178</v>
      </c>
      <c r="K2" s="128"/>
    </row>
    <row r="3" spans="1:17">
      <c r="A3" s="128"/>
      <c r="D3" s="105" t="s">
        <v>306</v>
      </c>
      <c r="E3" t="s">
        <v>454</v>
      </c>
      <c r="K3" s="128"/>
    </row>
    <row r="4" spans="1:17">
      <c r="A4" s="128"/>
      <c r="K4" s="128"/>
    </row>
    <row r="5" spans="1:17">
      <c r="A5" s="128" t="s">
        <v>180</v>
      </c>
      <c r="K5" s="128"/>
    </row>
    <row r="6" spans="1:17">
      <c r="A6" s="128" t="s">
        <v>408</v>
      </c>
      <c r="B6" s="105" t="s">
        <v>409</v>
      </c>
      <c r="D6" s="105" t="s">
        <v>410</v>
      </c>
      <c r="E6" s="105" t="s">
        <v>411</v>
      </c>
      <c r="F6" s="105" t="s">
        <v>412</v>
      </c>
      <c r="G6" s="105" t="s">
        <v>413</v>
      </c>
      <c r="H6" s="105" t="s">
        <v>414</v>
      </c>
      <c r="K6" s="128"/>
    </row>
    <row r="7" spans="1:17">
      <c r="A7" s="128" t="s">
        <v>314</v>
      </c>
      <c r="B7" s="105" t="s">
        <v>23</v>
      </c>
      <c r="D7" s="105" t="s">
        <v>24</v>
      </c>
      <c r="E7" s="105" t="s">
        <v>315</v>
      </c>
      <c r="F7" s="105" t="s">
        <v>316</v>
      </c>
      <c r="G7" s="105" t="s">
        <v>317</v>
      </c>
      <c r="H7" s="105" t="s">
        <v>318</v>
      </c>
      <c r="I7" t="s">
        <v>319</v>
      </c>
      <c r="K7" s="128"/>
    </row>
    <row r="8" spans="1:17">
      <c r="A8" s="128" t="s">
        <v>415</v>
      </c>
      <c r="B8" s="2">
        <v>10000</v>
      </c>
      <c r="D8" s="2">
        <v>10000</v>
      </c>
      <c r="E8" s="2">
        <v>2000</v>
      </c>
      <c r="F8" s="2">
        <v>2500</v>
      </c>
      <c r="G8" s="2">
        <v>2500</v>
      </c>
      <c r="H8" s="2">
        <v>7500</v>
      </c>
      <c r="I8">
        <v>75</v>
      </c>
      <c r="K8" s="128"/>
      <c r="L8" s="2"/>
      <c r="M8" s="2"/>
      <c r="N8" s="2"/>
      <c r="O8" s="2"/>
      <c r="P8" s="2"/>
      <c r="Q8" s="2"/>
    </row>
    <row r="9" spans="1:17">
      <c r="A9" s="128" t="s">
        <v>416</v>
      </c>
      <c r="B9" s="2"/>
      <c r="D9" s="2"/>
      <c r="E9"/>
      <c r="F9"/>
      <c r="G9"/>
      <c r="H9" s="2"/>
      <c r="L9" s="2"/>
      <c r="M9" s="2"/>
      <c r="Q9" s="2"/>
    </row>
    <row r="10" spans="1:17">
      <c r="A10" s="128" t="s">
        <v>417</v>
      </c>
      <c r="B10" s="2"/>
      <c r="D10" s="2"/>
      <c r="E10"/>
      <c r="F10"/>
      <c r="G10"/>
      <c r="H10" s="2"/>
      <c r="L10" s="2"/>
      <c r="M10" s="2"/>
      <c r="Q10" s="2"/>
    </row>
    <row r="11" spans="1:17">
      <c r="A11" s="128" t="s">
        <v>391</v>
      </c>
      <c r="B11" s="2">
        <v>1910321</v>
      </c>
      <c r="D11" s="2">
        <v>1910321</v>
      </c>
      <c r="E11">
        <v>0</v>
      </c>
      <c r="F11">
        <v>0</v>
      </c>
      <c r="G11">
        <v>0</v>
      </c>
      <c r="H11" s="2">
        <v>1910321</v>
      </c>
      <c r="I11">
        <v>100</v>
      </c>
      <c r="K11" s="128"/>
      <c r="L11" s="2"/>
      <c r="M11" s="2"/>
      <c r="Q11" s="2"/>
    </row>
    <row r="12" spans="1:17">
      <c r="A12" s="128" t="s">
        <v>418</v>
      </c>
      <c r="B12" s="2">
        <v>2340000</v>
      </c>
      <c r="C12" s="134"/>
      <c r="D12" s="2">
        <v>2340000</v>
      </c>
      <c r="E12">
        <v>0</v>
      </c>
      <c r="F12" s="2">
        <v>2340000</v>
      </c>
      <c r="G12" s="2">
        <v>2340000</v>
      </c>
      <c r="H12" s="2">
        <v>0</v>
      </c>
      <c r="I12">
        <v>0</v>
      </c>
      <c r="K12" s="128"/>
      <c r="L12" s="2"/>
      <c r="M12" s="2"/>
      <c r="O12" s="2"/>
      <c r="P12" s="2"/>
      <c r="Q12" s="2"/>
    </row>
    <row r="13" spans="1:17">
      <c r="A13" s="128" t="s">
        <v>419</v>
      </c>
      <c r="B13" s="2">
        <v>860000</v>
      </c>
      <c r="C13" s="134"/>
      <c r="D13" s="2">
        <v>860000</v>
      </c>
      <c r="E13">
        <v>0</v>
      </c>
      <c r="F13" s="2">
        <v>860000</v>
      </c>
      <c r="G13" s="2">
        <v>860000</v>
      </c>
      <c r="H13" s="2">
        <v>0</v>
      </c>
      <c r="I13">
        <v>0</v>
      </c>
      <c r="K13" s="128"/>
      <c r="L13" s="2"/>
      <c r="M13" s="2"/>
      <c r="O13" s="2"/>
      <c r="P13" s="2"/>
      <c r="Q13" s="2"/>
    </row>
    <row r="14" spans="1:17">
      <c r="A14" s="128" t="s">
        <v>457</v>
      </c>
      <c r="B14" s="2">
        <v>15855000</v>
      </c>
      <c r="C14" s="134"/>
      <c r="D14" s="2">
        <v>15855000</v>
      </c>
      <c r="E14">
        <v>0</v>
      </c>
      <c r="F14" s="2">
        <v>15855000</v>
      </c>
      <c r="G14" s="2">
        <v>15855000</v>
      </c>
      <c r="H14" s="2">
        <v>0</v>
      </c>
      <c r="I14">
        <v>0</v>
      </c>
      <c r="K14" s="128"/>
      <c r="L14" s="2"/>
      <c r="M14" s="2"/>
      <c r="O14" s="2"/>
      <c r="P14" s="2"/>
      <c r="Q14" s="2"/>
    </row>
    <row r="15" spans="1:17">
      <c r="A15" s="128" t="s">
        <v>420</v>
      </c>
      <c r="B15" s="2">
        <v>4725000</v>
      </c>
      <c r="C15" s="134"/>
      <c r="D15" s="2">
        <v>4725000</v>
      </c>
      <c r="E15">
        <v>0</v>
      </c>
      <c r="F15" s="2">
        <v>4725000</v>
      </c>
      <c r="G15" s="2">
        <v>4725000</v>
      </c>
      <c r="H15" s="2">
        <v>0</v>
      </c>
      <c r="I15">
        <v>0</v>
      </c>
      <c r="K15" s="128"/>
      <c r="L15" s="2"/>
      <c r="M15" s="2"/>
      <c r="O15" s="2"/>
      <c r="P15" s="2"/>
      <c r="Q15" s="2"/>
    </row>
    <row r="16" spans="1:17">
      <c r="A16" s="128" t="s">
        <v>421</v>
      </c>
      <c r="B16" s="2">
        <v>2510000</v>
      </c>
      <c r="C16" s="134"/>
      <c r="D16" s="2">
        <v>2510000</v>
      </c>
      <c r="E16">
        <v>0</v>
      </c>
      <c r="F16" s="2">
        <v>2510000</v>
      </c>
      <c r="G16" s="2">
        <v>2510000</v>
      </c>
      <c r="H16" s="2">
        <v>0</v>
      </c>
      <c r="I16">
        <v>0</v>
      </c>
      <c r="K16" s="128"/>
      <c r="L16" s="2"/>
      <c r="M16" s="2"/>
      <c r="O16" s="2"/>
      <c r="P16" s="2"/>
      <c r="Q16" s="2"/>
    </row>
    <row r="17" spans="1:17">
      <c r="A17" s="128" t="s">
        <v>422</v>
      </c>
      <c r="B17" s="2">
        <v>10830000</v>
      </c>
      <c r="C17" s="134"/>
      <c r="D17" s="2">
        <v>10830000</v>
      </c>
      <c r="E17">
        <v>0</v>
      </c>
      <c r="F17" s="2">
        <v>10830000</v>
      </c>
      <c r="G17" s="2">
        <v>10830000</v>
      </c>
      <c r="H17" s="2">
        <v>0</v>
      </c>
      <c r="I17">
        <v>0</v>
      </c>
      <c r="K17" s="128"/>
      <c r="L17" s="2"/>
      <c r="M17" s="2"/>
      <c r="O17" s="2"/>
      <c r="P17" s="2"/>
      <c r="Q17" s="2"/>
    </row>
    <row r="18" spans="1:17">
      <c r="A18" s="128" t="s">
        <v>423</v>
      </c>
      <c r="B18" s="2">
        <v>1150000</v>
      </c>
      <c r="C18" s="134"/>
      <c r="D18" s="2">
        <v>1150000</v>
      </c>
      <c r="E18">
        <v>0</v>
      </c>
      <c r="F18" s="2">
        <v>1150000</v>
      </c>
      <c r="G18" s="2">
        <v>1150000</v>
      </c>
      <c r="H18" s="2">
        <v>0</v>
      </c>
      <c r="I18">
        <v>0</v>
      </c>
      <c r="K18" s="128"/>
      <c r="L18" s="2"/>
      <c r="M18" s="2"/>
      <c r="O18" s="2"/>
      <c r="P18" s="2"/>
      <c r="Q18" s="2"/>
    </row>
    <row r="19" spans="1:17">
      <c r="A19" s="128" t="s">
        <v>424</v>
      </c>
      <c r="B19" s="2">
        <v>495000</v>
      </c>
      <c r="C19" s="134"/>
      <c r="D19" s="2">
        <v>495000</v>
      </c>
      <c r="E19">
        <v>0</v>
      </c>
      <c r="F19" s="2">
        <v>495000</v>
      </c>
      <c r="G19" s="2">
        <v>495000</v>
      </c>
      <c r="H19" s="2">
        <v>0</v>
      </c>
      <c r="I19">
        <v>0</v>
      </c>
      <c r="K19" s="128"/>
      <c r="L19" s="2"/>
      <c r="M19" s="2"/>
      <c r="O19" s="2"/>
      <c r="P19" s="2"/>
      <c r="Q19" s="2"/>
    </row>
    <row r="20" spans="1:17">
      <c r="A20" s="128" t="s">
        <v>425</v>
      </c>
      <c r="B20" s="2">
        <v>26340000</v>
      </c>
      <c r="C20" s="134"/>
      <c r="D20" s="2">
        <v>26340000</v>
      </c>
      <c r="E20">
        <v>0</v>
      </c>
      <c r="F20" s="2">
        <v>26340000</v>
      </c>
      <c r="G20" s="2">
        <v>26340000</v>
      </c>
      <c r="H20" s="2">
        <v>0</v>
      </c>
      <c r="I20">
        <v>0</v>
      </c>
      <c r="K20" s="128"/>
      <c r="L20" s="2"/>
      <c r="M20" s="2"/>
      <c r="O20" s="2"/>
      <c r="P20" s="2"/>
      <c r="Q20" s="2"/>
    </row>
    <row r="21" spans="1:17">
      <c r="A21" s="128" t="s">
        <v>426</v>
      </c>
      <c r="B21" s="2">
        <v>26250000</v>
      </c>
      <c r="C21" s="134"/>
      <c r="D21" s="2">
        <v>26250000</v>
      </c>
      <c r="E21">
        <v>0</v>
      </c>
      <c r="F21" s="2">
        <v>26250000</v>
      </c>
      <c r="G21" s="2">
        <v>26250000</v>
      </c>
      <c r="H21" s="2">
        <v>0</v>
      </c>
      <c r="I21">
        <v>0</v>
      </c>
      <c r="K21" s="128"/>
      <c r="L21" s="2"/>
      <c r="M21" s="2"/>
      <c r="O21" s="2"/>
      <c r="P21" s="2"/>
      <c r="Q21" s="2"/>
    </row>
    <row r="22" spans="1:17">
      <c r="A22" s="128" t="s">
        <v>427</v>
      </c>
      <c r="B22" s="2">
        <v>3675000</v>
      </c>
      <c r="C22" s="134"/>
      <c r="D22" s="2">
        <v>3675000</v>
      </c>
      <c r="E22">
        <v>0</v>
      </c>
      <c r="F22" s="2">
        <v>3675000</v>
      </c>
      <c r="G22" s="2">
        <v>3675000</v>
      </c>
      <c r="H22" s="2">
        <v>0</v>
      </c>
      <c r="I22">
        <v>0</v>
      </c>
      <c r="K22" s="128"/>
      <c r="L22" s="2"/>
      <c r="M22" s="2"/>
      <c r="O22" s="2"/>
      <c r="P22" s="2"/>
      <c r="Q22" s="2"/>
    </row>
    <row r="23" spans="1:17">
      <c r="A23" s="128" t="s">
        <v>428</v>
      </c>
      <c r="B23" s="2">
        <v>20025000</v>
      </c>
      <c r="C23" s="134"/>
      <c r="D23" s="2">
        <v>20025000</v>
      </c>
      <c r="E23">
        <v>0</v>
      </c>
      <c r="F23" s="2">
        <v>20025000</v>
      </c>
      <c r="G23" s="2">
        <v>20025000</v>
      </c>
      <c r="H23" s="2">
        <v>0</v>
      </c>
      <c r="I23">
        <v>0</v>
      </c>
      <c r="K23" s="128"/>
      <c r="L23" s="2"/>
      <c r="M23" s="2"/>
      <c r="O23" s="2"/>
      <c r="P23" s="2"/>
      <c r="Q23" s="2"/>
    </row>
    <row r="24" spans="1:17">
      <c r="A24" s="128" t="s">
        <v>458</v>
      </c>
      <c r="B24" s="2">
        <v>2615000</v>
      </c>
      <c r="C24" s="134"/>
      <c r="D24" s="2">
        <v>2615000</v>
      </c>
      <c r="E24">
        <v>0</v>
      </c>
      <c r="F24" s="2">
        <v>2615000</v>
      </c>
      <c r="G24" s="2">
        <v>2615000</v>
      </c>
      <c r="H24" s="2">
        <v>0</v>
      </c>
      <c r="I24">
        <v>0</v>
      </c>
      <c r="K24" s="128"/>
      <c r="L24" s="2"/>
      <c r="M24" s="2"/>
      <c r="O24" s="2"/>
      <c r="P24" s="2"/>
      <c r="Q24" s="2"/>
    </row>
    <row r="25" spans="1:17">
      <c r="A25" s="128" t="s">
        <v>429</v>
      </c>
      <c r="B25" s="2">
        <v>6785000</v>
      </c>
      <c r="C25" s="134"/>
      <c r="D25" s="2">
        <v>6785000</v>
      </c>
      <c r="E25">
        <v>0</v>
      </c>
      <c r="F25" s="2">
        <v>6785000</v>
      </c>
      <c r="G25" s="2">
        <v>6785000</v>
      </c>
      <c r="H25" s="2">
        <v>0</v>
      </c>
      <c r="I25">
        <v>0</v>
      </c>
      <c r="K25" s="128"/>
      <c r="L25" s="2"/>
      <c r="M25" s="2"/>
      <c r="O25" s="2"/>
      <c r="P25" s="2"/>
      <c r="Q25" s="2"/>
    </row>
    <row r="26" spans="1:17">
      <c r="A26" s="128" t="s">
        <v>459</v>
      </c>
      <c r="B26" s="2">
        <v>1485000</v>
      </c>
      <c r="C26" s="134"/>
      <c r="D26" s="2">
        <v>1485000</v>
      </c>
      <c r="E26">
        <v>0</v>
      </c>
      <c r="F26" s="2">
        <v>1485000</v>
      </c>
      <c r="G26" s="2">
        <v>1485000</v>
      </c>
      <c r="H26" s="2">
        <v>0</v>
      </c>
      <c r="I26">
        <v>0</v>
      </c>
      <c r="K26" s="128"/>
      <c r="L26" s="2"/>
      <c r="M26" s="2"/>
      <c r="O26" s="2"/>
      <c r="P26" s="2"/>
      <c r="Q26" s="2"/>
    </row>
    <row r="27" spans="1:17">
      <c r="A27" s="128" t="s">
        <v>460</v>
      </c>
      <c r="B27" s="2">
        <v>5840000</v>
      </c>
      <c r="C27" s="134"/>
      <c r="D27" s="2">
        <v>5840000</v>
      </c>
      <c r="E27">
        <v>0</v>
      </c>
      <c r="F27" s="2">
        <v>5840000</v>
      </c>
      <c r="G27" s="2">
        <v>5840000</v>
      </c>
      <c r="H27" s="2">
        <v>0</v>
      </c>
      <c r="I27">
        <v>0</v>
      </c>
      <c r="K27" s="128"/>
      <c r="L27" s="2"/>
      <c r="M27" s="2"/>
      <c r="O27" s="2"/>
      <c r="P27" s="2"/>
      <c r="Q27" s="2"/>
    </row>
    <row r="28" spans="1:17">
      <c r="A28" s="128" t="s">
        <v>461</v>
      </c>
      <c r="B28" s="2">
        <v>9425000</v>
      </c>
      <c r="C28" s="134"/>
      <c r="D28" s="2">
        <v>9425000</v>
      </c>
      <c r="E28">
        <v>0</v>
      </c>
      <c r="F28" s="2">
        <v>9425000</v>
      </c>
      <c r="G28" s="2">
        <v>9425000</v>
      </c>
      <c r="H28" s="2">
        <v>0</v>
      </c>
      <c r="I28">
        <v>0</v>
      </c>
      <c r="K28" s="128"/>
      <c r="L28" s="2"/>
      <c r="M28" s="2"/>
      <c r="O28" s="2"/>
      <c r="P28" s="2"/>
      <c r="Q28" s="2"/>
    </row>
    <row r="29" spans="1:17">
      <c r="A29" s="128" t="s">
        <v>430</v>
      </c>
      <c r="B29" s="2">
        <v>247305</v>
      </c>
      <c r="C29" s="130"/>
      <c r="D29" s="2">
        <v>247305</v>
      </c>
      <c r="E29">
        <v>0</v>
      </c>
      <c r="F29" s="2">
        <v>139564.5</v>
      </c>
      <c r="G29" s="2">
        <v>139564.5</v>
      </c>
      <c r="H29" s="2">
        <v>107740.5</v>
      </c>
      <c r="I29">
        <v>44</v>
      </c>
      <c r="K29" s="128"/>
      <c r="L29" s="2"/>
      <c r="M29" s="2"/>
      <c r="O29" s="2"/>
      <c r="P29" s="2"/>
      <c r="Q29" s="2"/>
    </row>
    <row r="30" spans="1:17">
      <c r="A30" s="128" t="s">
        <v>431</v>
      </c>
      <c r="B30" s="2">
        <v>310650</v>
      </c>
      <c r="C30" s="130"/>
      <c r="D30" s="2">
        <v>310650</v>
      </c>
      <c r="E30">
        <v>0</v>
      </c>
      <c r="F30" s="2">
        <v>155325</v>
      </c>
      <c r="G30" s="2">
        <v>155325</v>
      </c>
      <c r="H30" s="2">
        <v>155325</v>
      </c>
      <c r="I30">
        <v>50</v>
      </c>
      <c r="K30" s="128"/>
      <c r="L30" s="2"/>
      <c r="M30" s="2"/>
      <c r="O30" s="2"/>
      <c r="P30" s="2"/>
      <c r="Q30" s="2"/>
    </row>
    <row r="31" spans="1:17">
      <c r="A31" s="128" t="s">
        <v>432</v>
      </c>
      <c r="B31" s="2">
        <v>17200</v>
      </c>
      <c r="C31" s="130"/>
      <c r="D31" s="2">
        <v>17200</v>
      </c>
      <c r="E31">
        <v>0</v>
      </c>
      <c r="F31" s="2">
        <v>17200</v>
      </c>
      <c r="G31" s="2">
        <v>17200</v>
      </c>
      <c r="H31" s="2">
        <v>0</v>
      </c>
      <c r="I31">
        <v>0</v>
      </c>
      <c r="K31" s="128"/>
      <c r="L31" s="2"/>
      <c r="M31" s="2"/>
      <c r="O31" s="2"/>
      <c r="P31" s="2"/>
      <c r="Q31" s="2"/>
    </row>
    <row r="32" spans="1:17">
      <c r="A32" s="128" t="s">
        <v>433</v>
      </c>
      <c r="B32" s="2">
        <v>317100</v>
      </c>
      <c r="C32" s="130"/>
      <c r="D32" s="2">
        <v>317100</v>
      </c>
      <c r="E32">
        <v>0</v>
      </c>
      <c r="F32" s="2">
        <v>317100</v>
      </c>
      <c r="G32" s="2">
        <v>317100</v>
      </c>
      <c r="H32" s="2">
        <v>0</v>
      </c>
      <c r="I32">
        <v>0</v>
      </c>
      <c r="K32" s="128"/>
      <c r="L32" s="2"/>
      <c r="M32" s="2"/>
      <c r="O32" s="2"/>
      <c r="P32" s="2"/>
      <c r="Q32" s="2"/>
    </row>
    <row r="33" spans="1:17">
      <c r="A33" s="128" t="s">
        <v>434</v>
      </c>
      <c r="B33" s="2">
        <v>240288</v>
      </c>
      <c r="C33" s="130"/>
      <c r="D33" s="2">
        <v>240288</v>
      </c>
      <c r="E33">
        <v>0</v>
      </c>
      <c r="F33" s="2">
        <v>120143.75</v>
      </c>
      <c r="G33" s="2">
        <v>120143.75</v>
      </c>
      <c r="H33" s="2">
        <v>120144.25</v>
      </c>
      <c r="I33">
        <v>50</v>
      </c>
      <c r="K33" s="128"/>
      <c r="L33" s="2"/>
      <c r="M33" s="2"/>
      <c r="O33" s="2"/>
      <c r="P33" s="2"/>
      <c r="Q33" s="2"/>
    </row>
    <row r="34" spans="1:17">
      <c r="A34" s="128" t="s">
        <v>435</v>
      </c>
      <c r="B34" s="2">
        <v>1166600</v>
      </c>
      <c r="C34" s="130"/>
      <c r="D34" s="2">
        <v>1166600</v>
      </c>
      <c r="E34">
        <v>0</v>
      </c>
      <c r="F34" s="2">
        <v>160550</v>
      </c>
      <c r="G34" s="2">
        <v>160550</v>
      </c>
      <c r="H34" s="2">
        <v>1006050</v>
      </c>
      <c r="I34">
        <v>86</v>
      </c>
      <c r="K34" s="128"/>
      <c r="L34" s="2"/>
      <c r="M34" s="2"/>
      <c r="O34" s="2"/>
      <c r="P34" s="2"/>
      <c r="Q34" s="2"/>
    </row>
    <row r="35" spans="1:17">
      <c r="A35" s="128" t="s">
        <v>436</v>
      </c>
      <c r="B35" s="2">
        <v>1120794</v>
      </c>
      <c r="C35" s="130"/>
      <c r="D35" s="2">
        <v>1120794</v>
      </c>
      <c r="E35">
        <v>0</v>
      </c>
      <c r="F35" s="2">
        <v>619459.38</v>
      </c>
      <c r="G35" s="2">
        <v>619459.38</v>
      </c>
      <c r="H35" s="2">
        <v>501334.62</v>
      </c>
      <c r="I35">
        <v>45</v>
      </c>
      <c r="K35" s="128"/>
      <c r="L35" s="2"/>
      <c r="M35" s="2"/>
      <c r="O35" s="2"/>
      <c r="P35" s="2"/>
      <c r="Q35" s="2"/>
    </row>
    <row r="36" spans="1:17">
      <c r="A36" s="128" t="s">
        <v>437</v>
      </c>
      <c r="B36" s="2">
        <v>1862817</v>
      </c>
      <c r="C36" s="130"/>
      <c r="D36" s="2">
        <v>1862817</v>
      </c>
      <c r="E36">
        <v>0</v>
      </c>
      <c r="F36" s="2">
        <v>962783.13</v>
      </c>
      <c r="G36" s="2">
        <v>962783.13</v>
      </c>
      <c r="H36" s="2">
        <v>900033.87</v>
      </c>
      <c r="I36">
        <v>48</v>
      </c>
      <c r="K36" s="128"/>
      <c r="L36" s="2"/>
      <c r="M36" s="2"/>
      <c r="O36" s="2"/>
      <c r="P36" s="2"/>
      <c r="Q36" s="2"/>
    </row>
    <row r="37" spans="1:17">
      <c r="A37" s="128" t="s">
        <v>438</v>
      </c>
      <c r="B37" s="2">
        <v>8336050</v>
      </c>
      <c r="C37" s="130"/>
      <c r="D37" s="2">
        <v>8336050</v>
      </c>
      <c r="E37">
        <v>0</v>
      </c>
      <c r="F37" s="2">
        <v>4303400</v>
      </c>
      <c r="G37" s="2">
        <v>4303400</v>
      </c>
      <c r="H37" s="2">
        <v>4032650</v>
      </c>
      <c r="I37">
        <v>48</v>
      </c>
      <c r="K37" s="128"/>
      <c r="L37" s="2"/>
      <c r="M37" s="2"/>
      <c r="O37" s="2"/>
      <c r="P37" s="2"/>
      <c r="Q37" s="2"/>
    </row>
    <row r="38" spans="1:17">
      <c r="A38" s="128" t="s">
        <v>439</v>
      </c>
      <c r="B38" s="2">
        <v>1062900</v>
      </c>
      <c r="C38" s="130"/>
      <c r="D38" s="2">
        <v>1062900</v>
      </c>
      <c r="E38">
        <v>0</v>
      </c>
      <c r="F38" s="2">
        <v>545825</v>
      </c>
      <c r="G38" s="2">
        <v>545825</v>
      </c>
      <c r="H38" s="2">
        <v>517075</v>
      </c>
      <c r="I38">
        <v>49</v>
      </c>
      <c r="K38" s="128"/>
      <c r="L38" s="2"/>
      <c r="M38" s="2"/>
      <c r="O38" s="2"/>
      <c r="P38" s="2"/>
      <c r="Q38" s="2"/>
    </row>
    <row r="39" spans="1:17">
      <c r="A39" s="128" t="s">
        <v>440</v>
      </c>
      <c r="B39" s="2">
        <v>115750</v>
      </c>
      <c r="C39" s="130"/>
      <c r="D39" s="2">
        <v>115750</v>
      </c>
      <c r="E39">
        <v>0</v>
      </c>
      <c r="F39" s="2">
        <v>60350</v>
      </c>
      <c r="G39" s="2">
        <v>60350</v>
      </c>
      <c r="H39" s="2">
        <v>55400</v>
      </c>
      <c r="I39">
        <v>48</v>
      </c>
      <c r="K39" s="128"/>
      <c r="L39" s="2"/>
      <c r="M39" s="2"/>
      <c r="O39" s="2"/>
      <c r="P39" s="2"/>
      <c r="Q39" s="2"/>
    </row>
    <row r="40" spans="1:17">
      <c r="A40" s="128" t="s">
        <v>441</v>
      </c>
      <c r="B40" s="2">
        <v>1495184</v>
      </c>
      <c r="C40" s="130"/>
      <c r="D40" s="2">
        <v>1495184</v>
      </c>
      <c r="E40">
        <v>0</v>
      </c>
      <c r="F40" s="2">
        <v>789735.85</v>
      </c>
      <c r="G40" s="2">
        <v>789735.85</v>
      </c>
      <c r="H40" s="2">
        <v>705448.15</v>
      </c>
      <c r="I40">
        <v>47</v>
      </c>
      <c r="K40" s="128"/>
      <c r="L40" s="2"/>
      <c r="M40" s="2"/>
      <c r="O40" s="2"/>
      <c r="P40" s="2"/>
      <c r="Q40" s="2"/>
    </row>
    <row r="41" spans="1:17">
      <c r="A41" s="128" t="s">
        <v>442</v>
      </c>
      <c r="B41" s="2">
        <v>2755400</v>
      </c>
      <c r="C41" s="130"/>
      <c r="D41" s="2">
        <v>2755400</v>
      </c>
      <c r="E41">
        <v>0</v>
      </c>
      <c r="F41" s="2">
        <v>1640200</v>
      </c>
      <c r="G41" s="2">
        <v>1640200</v>
      </c>
      <c r="H41" s="2">
        <v>1115200</v>
      </c>
      <c r="I41">
        <v>40</v>
      </c>
      <c r="K41" s="128"/>
      <c r="L41" s="2"/>
      <c r="M41" s="2"/>
      <c r="O41" s="2"/>
      <c r="P41" s="2"/>
      <c r="Q41" s="2"/>
    </row>
    <row r="42" spans="1:17">
      <c r="A42" s="128" t="s">
        <v>443</v>
      </c>
      <c r="B42" s="2">
        <v>4299975</v>
      </c>
      <c r="C42" s="130"/>
      <c r="D42" s="2">
        <v>4299975</v>
      </c>
      <c r="E42">
        <v>0</v>
      </c>
      <c r="F42" s="2">
        <v>2195925</v>
      </c>
      <c r="G42" s="2">
        <v>2195925</v>
      </c>
      <c r="H42" s="2">
        <v>2104050</v>
      </c>
      <c r="I42">
        <v>49</v>
      </c>
      <c r="K42" s="128"/>
      <c r="L42" s="2"/>
      <c r="M42" s="2"/>
      <c r="O42" s="2"/>
      <c r="P42" s="2"/>
      <c r="Q42" s="2"/>
    </row>
    <row r="43" spans="1:17">
      <c r="A43" s="128" t="s">
        <v>444</v>
      </c>
      <c r="B43" s="2">
        <v>5046125</v>
      </c>
      <c r="C43" s="130"/>
      <c r="D43" s="2">
        <v>5046125</v>
      </c>
      <c r="E43">
        <v>0</v>
      </c>
      <c r="F43" s="2">
        <v>2773375</v>
      </c>
      <c r="G43" s="2">
        <v>2773375</v>
      </c>
      <c r="H43" s="2">
        <v>2272750</v>
      </c>
      <c r="I43">
        <v>45</v>
      </c>
      <c r="K43" s="128"/>
      <c r="L43" s="2"/>
      <c r="M43" s="2"/>
      <c r="O43" s="2"/>
      <c r="P43" s="2"/>
      <c r="Q43" s="2"/>
    </row>
    <row r="44" spans="1:17">
      <c r="A44" s="128" t="s">
        <v>445</v>
      </c>
      <c r="B44" s="2">
        <v>6904175</v>
      </c>
      <c r="C44" s="130"/>
      <c r="D44" s="2">
        <v>6904175</v>
      </c>
      <c r="E44">
        <v>0</v>
      </c>
      <c r="F44" s="2">
        <v>3484775</v>
      </c>
      <c r="G44" s="2">
        <v>3484775</v>
      </c>
      <c r="H44" s="2">
        <v>3419400</v>
      </c>
      <c r="I44">
        <v>50</v>
      </c>
      <c r="K44" s="128"/>
      <c r="L44" s="2"/>
      <c r="M44" s="2"/>
      <c r="O44" s="2"/>
      <c r="P44" s="2"/>
      <c r="Q44" s="2"/>
    </row>
    <row r="45" spans="1:17">
      <c r="A45" s="128" t="s">
        <v>446</v>
      </c>
      <c r="B45" s="2">
        <v>7291875</v>
      </c>
      <c r="C45" s="130"/>
      <c r="D45" s="2">
        <v>7291875</v>
      </c>
      <c r="E45">
        <v>0</v>
      </c>
      <c r="F45" s="2">
        <v>3730750</v>
      </c>
      <c r="G45" s="2">
        <v>3730750</v>
      </c>
      <c r="H45" s="2">
        <v>3561125</v>
      </c>
      <c r="I45">
        <v>49</v>
      </c>
      <c r="K45" s="128"/>
      <c r="L45" s="2"/>
      <c r="M45" s="2"/>
      <c r="O45" s="2"/>
      <c r="P45" s="2"/>
      <c r="Q45" s="2"/>
    </row>
    <row r="46" spans="1:17">
      <c r="A46" s="128" t="s">
        <v>462</v>
      </c>
      <c r="B46" s="2">
        <v>8248248</v>
      </c>
      <c r="C46" s="130"/>
      <c r="D46" s="2">
        <v>8248248</v>
      </c>
      <c r="E46">
        <v>0</v>
      </c>
      <c r="F46" s="2">
        <v>4767997.22</v>
      </c>
      <c r="G46" s="2">
        <v>4767997.22</v>
      </c>
      <c r="H46" s="2">
        <v>3480250.78</v>
      </c>
      <c r="I46">
        <v>42</v>
      </c>
      <c r="K46" s="128"/>
      <c r="L46" s="2"/>
      <c r="M46" s="2"/>
      <c r="O46" s="2"/>
      <c r="P46" s="2"/>
      <c r="Q46" s="2"/>
    </row>
    <row r="47" spans="1:17">
      <c r="A47" s="128" t="s">
        <v>463</v>
      </c>
      <c r="B47" s="2">
        <v>3748323</v>
      </c>
      <c r="C47" s="130"/>
      <c r="D47" s="2">
        <v>3748323</v>
      </c>
      <c r="E47">
        <v>0</v>
      </c>
      <c r="F47" s="2">
        <v>2241072.23</v>
      </c>
      <c r="G47" s="2">
        <v>2241072.23</v>
      </c>
      <c r="H47" s="2">
        <v>1507250.77</v>
      </c>
      <c r="I47">
        <v>40</v>
      </c>
      <c r="K47" s="128"/>
      <c r="L47" s="2"/>
      <c r="M47" s="2"/>
      <c r="O47" s="2"/>
      <c r="P47" s="2"/>
      <c r="Q47" s="2"/>
    </row>
    <row r="48" spans="1:17">
      <c r="A48" s="128" t="s">
        <v>464</v>
      </c>
      <c r="B48" s="2">
        <v>4980459</v>
      </c>
      <c r="C48" s="130"/>
      <c r="D48" s="2">
        <v>4980459</v>
      </c>
      <c r="E48">
        <v>0</v>
      </c>
      <c r="F48" s="2">
        <v>3001708.34</v>
      </c>
      <c r="G48" s="2">
        <v>3001708.34</v>
      </c>
      <c r="H48" s="2">
        <v>1978750.66</v>
      </c>
      <c r="I48">
        <v>40</v>
      </c>
      <c r="K48" s="128"/>
      <c r="L48" s="2"/>
      <c r="M48" s="2"/>
      <c r="O48" s="2"/>
      <c r="P48" s="2"/>
      <c r="Q48" s="2"/>
    </row>
    <row r="49" spans="1:17">
      <c r="A49" s="128" t="s">
        <v>447</v>
      </c>
      <c r="B49" s="2">
        <v>12000</v>
      </c>
      <c r="D49" s="2">
        <v>12000</v>
      </c>
      <c r="E49">
        <v>0</v>
      </c>
      <c r="F49" s="2">
        <v>4000</v>
      </c>
      <c r="G49" s="2">
        <v>4000</v>
      </c>
      <c r="H49" s="2">
        <v>8000</v>
      </c>
      <c r="I49">
        <v>67</v>
      </c>
      <c r="K49" s="128"/>
      <c r="L49" s="2"/>
      <c r="M49" s="2"/>
      <c r="O49" s="2"/>
      <c r="P49" s="2"/>
      <c r="Q49" s="2"/>
    </row>
    <row r="50" spans="1:17">
      <c r="A50" s="128" t="s">
        <v>448</v>
      </c>
      <c r="B50" s="2">
        <v>20000000</v>
      </c>
      <c r="D50" s="2">
        <v>20000000</v>
      </c>
      <c r="E50">
        <v>0</v>
      </c>
      <c r="F50">
        <v>0</v>
      </c>
      <c r="G50">
        <v>0</v>
      </c>
      <c r="H50" s="2">
        <v>20000000</v>
      </c>
      <c r="I50">
        <v>100</v>
      </c>
      <c r="K50" s="128"/>
      <c r="L50" s="2"/>
      <c r="M50" s="2"/>
      <c r="Q50" s="2"/>
    </row>
    <row r="51" spans="1:17">
      <c r="A51" s="128" t="s">
        <v>407</v>
      </c>
      <c r="B51" s="2">
        <v>222704539</v>
      </c>
      <c r="D51" s="2">
        <v>222704539</v>
      </c>
      <c r="E51" s="2">
        <v>2000</v>
      </c>
      <c r="F51" s="2">
        <v>173238739.40000001</v>
      </c>
      <c r="G51" s="2">
        <v>173238739.40000001</v>
      </c>
      <c r="H51" s="2">
        <v>49465799.600000001</v>
      </c>
      <c r="I51">
        <v>22</v>
      </c>
      <c r="K51" s="128"/>
      <c r="L51" s="2"/>
      <c r="M51" s="2"/>
      <c r="N51" s="2"/>
      <c r="O51" s="2"/>
      <c r="P51" s="2"/>
      <c r="Q51" s="2"/>
    </row>
    <row r="52" spans="1:17">
      <c r="A52" s="128" t="s">
        <v>173</v>
      </c>
      <c r="K52" s="12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6"/>
  <sheetViews>
    <sheetView workbookViewId="0">
      <selection sqref="A1:Q1"/>
    </sheetView>
  </sheetViews>
  <sheetFormatPr defaultColWidth="9.109375" defaultRowHeight="13.2"/>
  <cols>
    <col min="1" max="1" width="1.6640625" customWidth="1"/>
    <col min="2" max="2" width="1" customWidth="1"/>
    <col min="3" max="3" width="1.6640625" customWidth="1"/>
    <col min="4" max="4" width="27.6640625" customWidth="1"/>
    <col min="5" max="5" width="16" bestFit="1" customWidth="1"/>
    <col min="6" max="6" width="0.88671875" customWidth="1"/>
    <col min="7" max="7" width="16" bestFit="1" customWidth="1"/>
    <col min="8" max="8" width="0.6640625" customWidth="1"/>
    <col min="9" max="9" width="16" bestFit="1" customWidth="1"/>
    <col min="10" max="10" width="1" customWidth="1"/>
    <col min="11" max="11" width="15" bestFit="1" customWidth="1"/>
    <col min="12" max="12" width="1" customWidth="1"/>
    <col min="13" max="13" width="10.88671875" customWidth="1"/>
    <col min="15" max="15" width="12.5546875" customWidth="1"/>
  </cols>
  <sheetData>
    <row r="1" spans="1:13" s="5" customFormat="1" ht="17.399999999999999">
      <c r="A1" s="141" t="s">
        <v>22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>
      <c r="A2" s="140" t="s">
        <v>40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1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13.95" customHeight="1">
      <c r="A4" s="140" t="e">
        <f>+'GF Summary'!B5:N5</f>
        <v>#VALUE!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</row>
    <row r="5" spans="1:13" s="66" customFormat="1" ht="10.95" customHeight="1">
      <c r="A5" s="138" t="s">
        <v>39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</row>
    <row r="6" spans="1:13" ht="54.6" customHeight="1">
      <c r="E6" s="9" t="s">
        <v>23</v>
      </c>
      <c r="F6" s="9"/>
      <c r="G6" s="9" t="s">
        <v>24</v>
      </c>
      <c r="H6" s="9"/>
      <c r="I6" s="9" t="s">
        <v>0</v>
      </c>
      <c r="J6" s="9"/>
      <c r="K6" s="10" t="s">
        <v>1</v>
      </c>
      <c r="L6" s="10"/>
      <c r="M6" s="10" t="s">
        <v>2</v>
      </c>
    </row>
    <row r="7" spans="1:13">
      <c r="A7" s="1" t="s">
        <v>34</v>
      </c>
    </row>
    <row r="8" spans="1:13">
      <c r="A8" s="1"/>
      <c r="B8" t="s">
        <v>3</v>
      </c>
    </row>
    <row r="9" spans="1:13">
      <c r="A9" s="1"/>
      <c r="C9" t="s">
        <v>25</v>
      </c>
      <c r="E9" s="64">
        <f>+'GF REPORT REV'!F10</f>
        <v>304252789</v>
      </c>
      <c r="F9" s="64"/>
      <c r="G9" s="64">
        <f>+'GF REPORT REV'!H10</f>
        <v>304252789</v>
      </c>
      <c r="H9" s="64"/>
      <c r="I9" s="64">
        <f>+'GF REPORT REV'!J10</f>
        <v>303013508.63</v>
      </c>
      <c r="K9" s="12">
        <f>G9-I9</f>
        <v>1239280.3700000048</v>
      </c>
      <c r="M9" s="3">
        <f>K9/G9</f>
        <v>4.0731931302033352E-3</v>
      </c>
    </row>
    <row r="10" spans="1:13">
      <c r="A10" s="1"/>
      <c r="C10" t="s">
        <v>26</v>
      </c>
      <c r="E10" s="68">
        <f>+'GF REPORT REV'!F11</f>
        <v>935000</v>
      </c>
      <c r="F10" s="68"/>
      <c r="G10" s="68">
        <f>+'GF REPORT REV'!H11</f>
        <v>935000</v>
      </c>
      <c r="H10" s="68"/>
      <c r="I10" s="68">
        <f>+'GF REPORT REV'!J11</f>
        <v>285602.52</v>
      </c>
      <c r="J10" s="4"/>
      <c r="K10" s="4">
        <f>G10-I10</f>
        <v>649397.48</v>
      </c>
      <c r="M10" s="3">
        <f>K10/G10</f>
        <v>0.6945427593582888</v>
      </c>
    </row>
    <row r="11" spans="1:13">
      <c r="C11" t="s">
        <v>4</v>
      </c>
      <c r="E11" s="68">
        <f>+'GF REPORT REV'!F12</f>
        <v>2888000</v>
      </c>
      <c r="F11" s="68"/>
      <c r="G11" s="68">
        <f>+'GF REPORT REV'!H12</f>
        <v>2888000</v>
      </c>
      <c r="H11" s="68"/>
      <c r="I11" s="68">
        <f>+'GF REPORT REV'!J12</f>
        <v>1145399.3799999999</v>
      </c>
      <c r="J11" s="4"/>
      <c r="K11" s="4">
        <f>G11-I11</f>
        <v>1742600.62</v>
      </c>
      <c r="L11" s="2"/>
      <c r="M11" s="3">
        <f>K11/G11</f>
        <v>0.60339356648199449</v>
      </c>
    </row>
    <row r="12" spans="1:13" s="1" customFormat="1">
      <c r="D12" s="1" t="s">
        <v>5</v>
      </c>
      <c r="E12" s="13">
        <f>SUM(E9:E11)</f>
        <v>308075789</v>
      </c>
      <c r="F12" s="6"/>
      <c r="G12" s="13">
        <f>SUM(G9:G11)</f>
        <v>308075789</v>
      </c>
      <c r="H12" s="7"/>
      <c r="I12" s="13">
        <f>SUM(I9:I11)</f>
        <v>304444510.52999997</v>
      </c>
      <c r="J12" s="7"/>
      <c r="K12" s="13">
        <f>SUM(K9:K11)</f>
        <v>3631278.4700000049</v>
      </c>
      <c r="L12" s="6"/>
      <c r="M12" s="61">
        <f>K12/G12</f>
        <v>1.1786964765348714E-2</v>
      </c>
    </row>
    <row r="13" spans="1:13">
      <c r="E13" s="2"/>
      <c r="F13" s="2"/>
      <c r="G13" s="2"/>
      <c r="H13" s="2"/>
      <c r="I13" s="2"/>
      <c r="J13" s="2"/>
      <c r="K13" s="2"/>
      <c r="L13" s="2"/>
      <c r="M13" s="3"/>
    </row>
    <row r="15" spans="1:13" ht="13.95" customHeight="1">
      <c r="A15" s="144" t="s">
        <v>157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</row>
    <row r="16" spans="1:13" s="66" customFormat="1" ht="10.95" customHeight="1">
      <c r="A16" s="143" t="s">
        <v>39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5" ht="54.6" customHeight="1">
      <c r="A17" s="86"/>
      <c r="B17" s="86"/>
      <c r="C17" s="86"/>
      <c r="D17" s="86"/>
      <c r="E17" s="87" t="s">
        <v>23</v>
      </c>
      <c r="F17" s="87"/>
      <c r="G17" s="87" t="s">
        <v>24</v>
      </c>
      <c r="H17" s="87"/>
      <c r="I17" s="87" t="s">
        <v>0</v>
      </c>
      <c r="J17" s="87"/>
      <c r="K17" s="88" t="s">
        <v>1</v>
      </c>
      <c r="L17" s="88"/>
      <c r="M17" s="88" t="s">
        <v>2</v>
      </c>
      <c r="O17" s="89" t="s">
        <v>158</v>
      </c>
    </row>
    <row r="18" spans="1:15">
      <c r="A18" s="89" t="s">
        <v>34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</row>
    <row r="19" spans="1:15">
      <c r="A19" s="89"/>
      <c r="B19" s="86" t="s">
        <v>3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</row>
    <row r="20" spans="1:15">
      <c r="A20" s="89"/>
      <c r="B20" s="86"/>
      <c r="C20" s="86" t="s">
        <v>25</v>
      </c>
      <c r="D20" s="86"/>
      <c r="E20" s="90">
        <v>148196587</v>
      </c>
      <c r="F20" s="90"/>
      <c r="G20" s="90">
        <v>148196587</v>
      </c>
      <c r="H20" s="90"/>
      <c r="I20" s="90">
        <v>146210120.84</v>
      </c>
      <c r="J20" s="86"/>
      <c r="K20" s="91">
        <f>G20-I20</f>
        <v>1986466.1599999964</v>
      </c>
      <c r="L20" s="86"/>
      <c r="M20" s="92">
        <f>K20/G20</f>
        <v>1.3404263891718346E-2</v>
      </c>
    </row>
    <row r="21" spans="1:15">
      <c r="A21" s="89"/>
      <c r="B21" s="86"/>
      <c r="C21" s="86" t="s">
        <v>26</v>
      </c>
      <c r="D21" s="86"/>
      <c r="E21" s="93">
        <v>970000</v>
      </c>
      <c r="F21" s="93"/>
      <c r="G21" s="93">
        <v>970000</v>
      </c>
      <c r="H21" s="93"/>
      <c r="I21" s="93">
        <v>567276.1</v>
      </c>
      <c r="J21" s="94"/>
      <c r="K21" s="91">
        <f>G21-I21</f>
        <v>402723.9</v>
      </c>
      <c r="L21" s="86"/>
      <c r="M21" s="92">
        <f>K21/G21</f>
        <v>0.41517927835051549</v>
      </c>
    </row>
    <row r="22" spans="1:15">
      <c r="A22" s="86"/>
      <c r="B22" s="86"/>
      <c r="C22" s="86" t="s">
        <v>4</v>
      </c>
      <c r="D22" s="86"/>
      <c r="E22" s="93">
        <v>1380000</v>
      </c>
      <c r="F22" s="93"/>
      <c r="G22" s="93">
        <v>1380000</v>
      </c>
      <c r="H22" s="93"/>
      <c r="I22" s="93">
        <v>418816.82</v>
      </c>
      <c r="J22" s="94"/>
      <c r="K22" s="94">
        <f>G22-I22</f>
        <v>961183.17999999993</v>
      </c>
      <c r="L22" s="95"/>
      <c r="M22" s="92">
        <f>K22/G22</f>
        <v>0.6965095507246376</v>
      </c>
    </row>
    <row r="23" spans="1:15" s="1" customFormat="1">
      <c r="A23" s="89"/>
      <c r="B23" s="89"/>
      <c r="C23" s="89"/>
      <c r="D23" s="89" t="s">
        <v>5</v>
      </c>
      <c r="E23" s="96">
        <f>SUM(E20:E22)</f>
        <v>150546587</v>
      </c>
      <c r="F23" s="97"/>
      <c r="G23" s="96">
        <f>SUM(G20:G22)</f>
        <v>150546587</v>
      </c>
      <c r="H23" s="98"/>
      <c r="I23" s="96">
        <f>SUM(I20:I22)</f>
        <v>147196213.75999999</v>
      </c>
      <c r="J23" s="98"/>
      <c r="K23" s="96">
        <f>G23-I23</f>
        <v>3350373.2400000095</v>
      </c>
      <c r="L23" s="97"/>
      <c r="M23" s="99">
        <f>K23/G23</f>
        <v>2.2254727302452957E-2</v>
      </c>
    </row>
    <row r="24" spans="1:15">
      <c r="A24" s="86"/>
      <c r="B24" s="86"/>
      <c r="C24" s="86"/>
      <c r="D24" s="86"/>
      <c r="E24" s="95"/>
      <c r="F24" s="95"/>
      <c r="G24" s="95"/>
      <c r="H24" s="95"/>
      <c r="I24" s="95"/>
      <c r="J24" s="95"/>
      <c r="K24" s="95"/>
      <c r="L24" s="95"/>
      <c r="M24" s="92"/>
    </row>
    <row r="25" spans="1:15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</row>
    <row r="26" spans="1:15">
      <c r="D26" t="s">
        <v>43</v>
      </c>
    </row>
  </sheetData>
  <mergeCells count="6">
    <mergeCell ref="A16:M16"/>
    <mergeCell ref="A1:M1"/>
    <mergeCell ref="A2:M2"/>
    <mergeCell ref="A4:M4"/>
    <mergeCell ref="A5:M5"/>
    <mergeCell ref="A15:M15"/>
  </mergeCells>
  <phoneticPr fontId="14" type="noConversion"/>
  <pageMargins left="0.75" right="0.75" top="0.75" bottom="0.66" header="0.5" footer="0.16"/>
  <pageSetup scale="80" orientation="portrait" r:id="rId1"/>
  <headerFooter alignWithMargins="0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workbookViewId="0">
      <selection sqref="A1:Q1"/>
    </sheetView>
  </sheetViews>
  <sheetFormatPr defaultColWidth="9.109375" defaultRowHeight="13.2"/>
  <cols>
    <col min="1" max="1" width="1.6640625" style="17" customWidth="1"/>
    <col min="2" max="2" width="1" style="17" customWidth="1"/>
    <col min="3" max="3" width="1.6640625" style="17" customWidth="1"/>
    <col min="4" max="4" width="22.5546875" style="17" customWidth="1"/>
    <col min="5" max="5" width="16" style="17" bestFit="1" customWidth="1"/>
    <col min="6" max="6" width="0.88671875" style="17" customWidth="1"/>
    <col min="7" max="7" width="16" style="17" bestFit="1" customWidth="1"/>
    <col min="8" max="8" width="0.6640625" style="17" customWidth="1"/>
    <col min="9" max="9" width="16" style="17" bestFit="1" customWidth="1"/>
    <col min="10" max="10" width="1" style="17" customWidth="1"/>
    <col min="11" max="11" width="15.44140625" style="17" bestFit="1" customWidth="1"/>
    <col min="12" max="12" width="1" style="17" customWidth="1"/>
    <col min="13" max="13" width="10.88671875" style="17" customWidth="1"/>
    <col min="14" max="14" width="1" style="17" customWidth="1"/>
    <col min="15" max="15" width="15.6640625" style="17" customWidth="1"/>
    <col min="16" max="16" width="1" style="17" customWidth="1"/>
    <col min="17" max="17" width="11.88671875" style="17" customWidth="1"/>
    <col min="18" max="16384" width="9.109375" style="17"/>
  </cols>
  <sheetData>
    <row r="1" spans="1:17" s="16" customFormat="1" ht="17.399999999999999">
      <c r="A1" s="145" t="s">
        <v>22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</row>
    <row r="2" spans="1:17">
      <c r="A2" s="146" t="s">
        <v>30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</row>
    <row r="3" spans="1:17" ht="13.95" customHeight="1">
      <c r="A3" s="146" t="e">
        <f>+'GF Summary'!B5:N5</f>
        <v>#VALUE!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 spans="1:17" s="19" customFormat="1" ht="10.95" customHeight="1">
      <c r="A4" s="147" t="s">
        <v>39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</row>
    <row r="5" spans="1:17" s="19" customFormat="1" ht="10.9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 t="s">
        <v>44</v>
      </c>
      <c r="P5" s="18"/>
      <c r="Q5" s="58">
        <v>3</v>
      </c>
    </row>
    <row r="6" spans="1:17" s="19" customFormat="1" ht="10.9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ht="39.6">
      <c r="E7" s="20" t="s">
        <v>23</v>
      </c>
      <c r="F7" s="20"/>
      <c r="G7" s="20" t="s">
        <v>24</v>
      </c>
      <c r="H7" s="20"/>
      <c r="I7" s="20" t="s">
        <v>0</v>
      </c>
      <c r="J7" s="20"/>
      <c r="K7" s="21" t="s">
        <v>1</v>
      </c>
      <c r="L7" s="21"/>
      <c r="M7" s="21" t="s">
        <v>2</v>
      </c>
      <c r="N7" s="20"/>
      <c r="O7" s="59" t="s">
        <v>162</v>
      </c>
      <c r="P7" s="21"/>
      <c r="Q7" s="21" t="s">
        <v>42</v>
      </c>
    </row>
    <row r="8" spans="1:17">
      <c r="A8" s="22" t="s">
        <v>34</v>
      </c>
    </row>
    <row r="9" spans="1:17">
      <c r="A9" s="22"/>
      <c r="B9" s="17" t="s">
        <v>35</v>
      </c>
      <c r="E9" s="54">
        <f>+'GF Summary'!F11</f>
        <v>308075789</v>
      </c>
      <c r="F9" s="23"/>
      <c r="G9" s="54">
        <f>+'GF Summary'!H11</f>
        <v>308075789</v>
      </c>
      <c r="H9" s="24"/>
      <c r="I9" s="54">
        <f>+'GF Summary'!J11</f>
        <v>304444510.52999997</v>
      </c>
      <c r="J9" s="24"/>
      <c r="K9" s="15">
        <f t="shared" ref="K9:K14" si="0">G9-I9</f>
        <v>3631278.4700000286</v>
      </c>
      <c r="L9" s="25"/>
      <c r="M9" s="3">
        <f t="shared" ref="M9:M14" si="1">IF(G9,K9/G9,0)</f>
        <v>1.178696476534879E-2</v>
      </c>
      <c r="N9" s="24"/>
      <c r="O9" s="53">
        <f t="shared" ref="O9:O14" si="2">G9/12*Q$5</f>
        <v>77018947.25</v>
      </c>
      <c r="P9" s="25"/>
      <c r="Q9" s="27">
        <f t="shared" ref="Q9:Q15" si="3">I9/O9</f>
        <v>3.9528521409386048</v>
      </c>
    </row>
    <row r="10" spans="1:17">
      <c r="B10" s="17" t="s">
        <v>75</v>
      </c>
      <c r="E10" s="28">
        <f>+'GF Summary'!F12</f>
        <v>18821285</v>
      </c>
      <c r="F10" s="29"/>
      <c r="G10" s="28">
        <f>+'GF Summary'!H12</f>
        <v>18821285</v>
      </c>
      <c r="H10" s="29"/>
      <c r="I10" s="28">
        <f>+'GF Summary'!J12</f>
        <v>5324780.53</v>
      </c>
      <c r="J10" s="24"/>
      <c r="K10" s="28">
        <f t="shared" si="0"/>
        <v>13496504.469999999</v>
      </c>
      <c r="L10" s="25"/>
      <c r="M10" s="3">
        <f t="shared" si="1"/>
        <v>0.7170873014249558</v>
      </c>
      <c r="N10" s="24"/>
      <c r="O10" s="28">
        <f t="shared" si="2"/>
        <v>4705321.25</v>
      </c>
      <c r="Q10" s="27">
        <f t="shared" si="3"/>
        <v>1.1316507943001768</v>
      </c>
    </row>
    <row r="11" spans="1:17">
      <c r="B11" s="17" t="s">
        <v>76</v>
      </c>
      <c r="E11" s="28">
        <f>+'GF Summary'!F13</f>
        <v>2409500</v>
      </c>
      <c r="F11" s="29"/>
      <c r="G11" s="28">
        <f>+'GF Summary'!H13</f>
        <v>2409500</v>
      </c>
      <c r="H11" s="29"/>
      <c r="I11" s="28">
        <f>+'GF Summary'!J13</f>
        <v>1162188.8900000001</v>
      </c>
      <c r="J11" s="24"/>
      <c r="K11" s="28">
        <f t="shared" si="0"/>
        <v>1247311.1099999999</v>
      </c>
      <c r="L11" s="25"/>
      <c r="M11" s="3">
        <f t="shared" si="1"/>
        <v>0.51766387632288846</v>
      </c>
      <c r="N11" s="24"/>
      <c r="O11" s="28">
        <f t="shared" si="2"/>
        <v>602375</v>
      </c>
      <c r="Q11" s="27">
        <f t="shared" si="3"/>
        <v>1.9293444947084459</v>
      </c>
    </row>
    <row r="12" spans="1:17">
      <c r="B12" s="17" t="s">
        <v>77</v>
      </c>
      <c r="E12" s="28">
        <f>+'GF Summary'!F14</f>
        <v>22578374</v>
      </c>
      <c r="F12" s="29"/>
      <c r="G12" s="28">
        <f>+'GF Summary'!H14</f>
        <v>22578374</v>
      </c>
      <c r="H12" s="29"/>
      <c r="I12" s="28">
        <f>+'GF Summary'!J14</f>
        <v>10852225.420000002</v>
      </c>
      <c r="J12" s="24"/>
      <c r="K12" s="28">
        <f t="shared" si="0"/>
        <v>11726148.579999998</v>
      </c>
      <c r="L12" s="25"/>
      <c r="M12" s="3">
        <f t="shared" si="1"/>
        <v>0.51935310222073561</v>
      </c>
      <c r="N12" s="24"/>
      <c r="O12" s="28">
        <f t="shared" si="2"/>
        <v>5644593.5</v>
      </c>
      <c r="Q12" s="27">
        <f t="shared" si="3"/>
        <v>1.9225875911170578</v>
      </c>
    </row>
    <row r="13" spans="1:17">
      <c r="B13" s="17" t="s">
        <v>18</v>
      </c>
      <c r="E13" s="28">
        <f>+'GF Summary'!F15</f>
        <v>3669310</v>
      </c>
      <c r="F13" s="29"/>
      <c r="G13" s="28">
        <f>+'GF Summary'!H15</f>
        <v>3781810</v>
      </c>
      <c r="H13" s="29"/>
      <c r="I13" s="28">
        <f>+'GF Summary'!J15</f>
        <v>-2359090.29</v>
      </c>
      <c r="J13" s="24"/>
      <c r="K13" s="28">
        <f t="shared" si="0"/>
        <v>6140900.29</v>
      </c>
      <c r="L13" s="25"/>
      <c r="M13" s="3">
        <f t="shared" si="1"/>
        <v>1.6237992627868667</v>
      </c>
      <c r="N13" s="24"/>
      <c r="O13" s="28">
        <f t="shared" si="2"/>
        <v>945452.5</v>
      </c>
      <c r="Q13" s="27">
        <f t="shared" si="3"/>
        <v>-2.4951970511474664</v>
      </c>
    </row>
    <row r="14" spans="1:17">
      <c r="B14" s="17" t="s">
        <v>78</v>
      </c>
      <c r="E14" s="28">
        <f>+'GF Summary'!F16</f>
        <v>14533734</v>
      </c>
      <c r="F14" s="29"/>
      <c r="G14" s="28">
        <f>+'GF Summary'!H16</f>
        <v>14534358</v>
      </c>
      <c r="H14" s="29"/>
      <c r="I14" s="28">
        <f>+'GF Summary'!J16</f>
        <v>8628200.7300000004</v>
      </c>
      <c r="J14" s="24"/>
      <c r="K14" s="28">
        <f t="shared" si="0"/>
        <v>5906157.2699999996</v>
      </c>
      <c r="L14" s="25"/>
      <c r="M14" s="3">
        <f t="shared" si="1"/>
        <v>0.4063583179938185</v>
      </c>
      <c r="N14" s="24"/>
      <c r="O14" s="28">
        <f t="shared" si="2"/>
        <v>3633589.5</v>
      </c>
      <c r="Q14" s="27">
        <f t="shared" si="3"/>
        <v>2.374566728024726</v>
      </c>
    </row>
    <row r="15" spans="1:17" s="22" customFormat="1" ht="13.8" thickBot="1">
      <c r="C15" s="22" t="s">
        <v>41</v>
      </c>
      <c r="E15" s="30">
        <f>SUM(E9:E14)</f>
        <v>370087992</v>
      </c>
      <c r="F15" s="31"/>
      <c r="G15" s="30">
        <f>SUM(G9:G14)</f>
        <v>370201116</v>
      </c>
      <c r="H15" s="31"/>
      <c r="I15" s="30">
        <f>SUM(I9:I14)</f>
        <v>328052815.80999994</v>
      </c>
      <c r="J15" s="31"/>
      <c r="K15" s="30">
        <f>SUM(K9:K14)</f>
        <v>42148300.190000027</v>
      </c>
      <c r="L15" s="25"/>
      <c r="M15" s="32">
        <f t="shared" ref="M15" si="4">K15/G15</f>
        <v>0.11385243957503366</v>
      </c>
      <c r="N15" s="31"/>
      <c r="O15" s="30">
        <f>SUM(O9:O14)</f>
        <v>92550279</v>
      </c>
      <c r="P15" s="17"/>
      <c r="Q15" s="33">
        <f t="shared" si="3"/>
        <v>3.5445902416998649</v>
      </c>
    </row>
    <row r="16" spans="1:17" s="22" customFormat="1" ht="13.8" thickTop="1"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17" s="22" customFormat="1"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s="22" customFormat="1"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 s="22" customFormat="1"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1" spans="1:17" ht="26.4">
      <c r="E21" s="20" t="s">
        <v>23</v>
      </c>
      <c r="F21" s="20"/>
      <c r="G21" s="20" t="s">
        <v>24</v>
      </c>
      <c r="H21" s="20"/>
      <c r="I21" s="21" t="s">
        <v>11</v>
      </c>
      <c r="J21" s="20"/>
      <c r="K21" s="21" t="s">
        <v>12</v>
      </c>
      <c r="L21" s="21"/>
      <c r="M21" s="21" t="s">
        <v>13</v>
      </c>
      <c r="N21" s="20"/>
      <c r="O21" s="21" t="str">
        <f>+O7</f>
        <v>Target Analysis                 (3 months)</v>
      </c>
      <c r="P21" s="21"/>
      <c r="Q21" s="21" t="s">
        <v>42</v>
      </c>
    </row>
    <row r="22" spans="1:17">
      <c r="A22" s="22" t="s">
        <v>10</v>
      </c>
    </row>
    <row r="23" spans="1:17">
      <c r="B23" s="17" t="s">
        <v>79</v>
      </c>
      <c r="E23" s="54">
        <f>+'GF Summary'!F25</f>
        <v>155291608.41</v>
      </c>
      <c r="F23" s="23"/>
      <c r="G23" s="54">
        <f>+'GF Summary'!H25</f>
        <v>220534875.62</v>
      </c>
      <c r="H23" s="24"/>
      <c r="I23" s="54">
        <f>+'GF Summary'!J25</f>
        <v>76346686.459999993</v>
      </c>
      <c r="J23" s="24"/>
      <c r="K23" s="15">
        <f>G23-I23</f>
        <v>144188189.16000003</v>
      </c>
      <c r="L23" s="23"/>
      <c r="M23" s="3">
        <f t="shared" ref="M23:M26" si="5">IF(G23,K23/G23,0)</f>
        <v>0.6538112793028179</v>
      </c>
      <c r="N23" s="24"/>
      <c r="O23" s="53">
        <f>G23/12*Q$5</f>
        <v>55133718.905000001</v>
      </c>
      <c r="Q23" s="27">
        <f>I23/O23</f>
        <v>1.3847548827887288</v>
      </c>
    </row>
    <row r="24" spans="1:17">
      <c r="B24" s="17" t="s">
        <v>36</v>
      </c>
      <c r="E24" s="28">
        <f>+'GF Summary'!F26</f>
        <v>176603814.50000003</v>
      </c>
      <c r="F24" s="29"/>
      <c r="G24" s="28">
        <f>+'GF Summary'!H26</f>
        <v>176578420.94</v>
      </c>
      <c r="H24" s="29"/>
      <c r="I24" s="28">
        <f>+'GF Summary'!J26</f>
        <v>90105854.179999992</v>
      </c>
      <c r="J24" s="24"/>
      <c r="K24" s="28">
        <f>G24-I24</f>
        <v>86472566.760000005</v>
      </c>
      <c r="L24" s="23"/>
      <c r="M24" s="3">
        <f t="shared" si="5"/>
        <v>0.48971197216325046</v>
      </c>
      <c r="N24" s="24"/>
      <c r="O24" s="28">
        <f>G24/12*Q$5</f>
        <v>44144605.234999999</v>
      </c>
      <c r="Q24" s="27">
        <f>I24/O24</f>
        <v>2.0411521113469981</v>
      </c>
    </row>
    <row r="25" spans="1:17">
      <c r="B25" s="17" t="s">
        <v>37</v>
      </c>
      <c r="E25" s="28">
        <f>+'GF Summary'!F27</f>
        <v>50629460.519999996</v>
      </c>
      <c r="F25" s="29"/>
      <c r="G25" s="28">
        <f>+'GF Summary'!H27</f>
        <v>50939350.510000005</v>
      </c>
      <c r="H25" s="29"/>
      <c r="I25" s="28">
        <f>+'GF Summary'!J27</f>
        <v>21895737.929999996</v>
      </c>
      <c r="J25" s="24"/>
      <c r="K25" s="28">
        <f>G25-I25</f>
        <v>29043612.580000009</v>
      </c>
      <c r="L25" s="23"/>
      <c r="M25" s="3">
        <f t="shared" si="5"/>
        <v>0.57016063788050064</v>
      </c>
      <c r="N25" s="24"/>
      <c r="O25" s="28">
        <f>G25/12*Q$5</f>
        <v>12734837.627500001</v>
      </c>
      <c r="Q25" s="27">
        <f>I25/O25</f>
        <v>1.7193574484779974</v>
      </c>
    </row>
    <row r="26" spans="1:17">
      <c r="B26" s="17" t="s">
        <v>80</v>
      </c>
      <c r="E26" s="28">
        <f>+'GF Summary'!F28</f>
        <v>18676348.470000003</v>
      </c>
      <c r="F26" s="29"/>
      <c r="G26" s="28">
        <f>+'GF Summary'!H28</f>
        <v>18734738.790000003</v>
      </c>
      <c r="H26" s="29"/>
      <c r="I26" s="28">
        <f>+'GF Summary'!J28</f>
        <v>9404375.8699999992</v>
      </c>
      <c r="J26" s="24"/>
      <c r="K26" s="28">
        <f>G26-I26</f>
        <v>9330362.9200000037</v>
      </c>
      <c r="L26" s="23"/>
      <c r="M26" s="3">
        <f t="shared" si="5"/>
        <v>0.49802471358609224</v>
      </c>
      <c r="N26" s="24"/>
      <c r="O26" s="28">
        <f>G26/12*Q$5</f>
        <v>4683684.6975000007</v>
      </c>
      <c r="Q26" s="27">
        <f>I26/O26</f>
        <v>2.007901145655631</v>
      </c>
    </row>
    <row r="27" spans="1:17" s="22" customFormat="1" ht="13.8" thickBot="1">
      <c r="D27" s="22" t="s">
        <v>81</v>
      </c>
      <c r="E27" s="30">
        <f>SUM(E23:E26)</f>
        <v>401201231.90000004</v>
      </c>
      <c r="F27" s="31"/>
      <c r="G27" s="30">
        <f>SUM(G23:G26)</f>
        <v>466787385.86000001</v>
      </c>
      <c r="H27" s="31"/>
      <c r="I27" s="30">
        <f>SUM(I23:I26)</f>
        <v>197752654.44</v>
      </c>
      <c r="J27" s="31"/>
      <c r="K27" s="30">
        <f>SUM(K23:K26)</f>
        <v>269034731.42000002</v>
      </c>
      <c r="M27" s="32">
        <f>K27/G27</f>
        <v>0.57635390237535156</v>
      </c>
      <c r="N27" s="31"/>
      <c r="O27" s="30">
        <f>SUM(O23:O26)</f>
        <v>116696846.465</v>
      </c>
      <c r="Q27" s="33">
        <f>I27/O27</f>
        <v>1.6945843904985938</v>
      </c>
    </row>
    <row r="28" spans="1:17" ht="13.8" thickTop="1">
      <c r="A28" s="22"/>
      <c r="B28" s="22"/>
      <c r="C28" s="22"/>
    </row>
  </sheetData>
  <mergeCells count="4">
    <mergeCell ref="A1:Q1"/>
    <mergeCell ref="A2:Q2"/>
    <mergeCell ref="A3:Q3"/>
    <mergeCell ref="A4:Q4"/>
  </mergeCells>
  <phoneticPr fontId="14" type="noConversion"/>
  <pageMargins left="0.75" right="0.75" top="1" bottom="0.66" header="0.3" footer="0.3"/>
  <pageSetup scale="92" orientation="landscape" r:id="rId1"/>
  <headerFooter>
    <oddFooter>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61"/>
  <sheetViews>
    <sheetView workbookViewId="0">
      <selection sqref="A1:Q1"/>
    </sheetView>
  </sheetViews>
  <sheetFormatPr defaultColWidth="9.109375" defaultRowHeight="13.2"/>
  <cols>
    <col min="1" max="1" width="1.6640625" style="17" customWidth="1"/>
    <col min="2" max="2" width="1" style="17" customWidth="1"/>
    <col min="3" max="3" width="1.6640625" style="17" customWidth="1"/>
    <col min="4" max="4" width="29.44140625" style="17" bestFit="1" customWidth="1"/>
    <col min="5" max="5" width="16" style="17" bestFit="1" customWidth="1"/>
    <col min="6" max="6" width="0.88671875" style="17" customWidth="1"/>
    <col min="7" max="7" width="16" style="17" bestFit="1" customWidth="1"/>
    <col min="8" max="8" width="0.6640625" style="17" customWidth="1"/>
    <col min="9" max="9" width="16" style="17" bestFit="1" customWidth="1"/>
    <col min="10" max="10" width="1" style="17" customWidth="1"/>
    <col min="11" max="11" width="15.109375" style="17" bestFit="1" customWidth="1"/>
    <col min="12" max="12" width="1" style="17" customWidth="1"/>
    <col min="13" max="13" width="10.88671875" style="17" customWidth="1"/>
    <col min="14" max="14" width="1" style="17" customWidth="1"/>
    <col min="15" max="15" width="16" style="17" bestFit="1" customWidth="1"/>
    <col min="16" max="16" width="1" style="17" customWidth="1"/>
    <col min="17" max="17" width="11.88671875" style="17" customWidth="1"/>
    <col min="18" max="16384" width="9.109375" style="17"/>
  </cols>
  <sheetData>
    <row r="1" spans="1:18" s="16" customFormat="1" ht="17.399999999999999">
      <c r="A1" s="145" t="s">
        <v>22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</row>
    <row r="2" spans="1:18">
      <c r="A2" s="146" t="s">
        <v>30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</row>
    <row r="3" spans="1:18" ht="13.95" customHeight="1">
      <c r="A3" s="146" t="e">
        <f>+'GF REPORT REV'!B6:N6</f>
        <v>#VALUE!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 spans="1:18" s="19" customFormat="1" ht="10.95" customHeight="1">
      <c r="A4" s="147" t="s">
        <v>39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</row>
    <row r="5" spans="1:18" s="19" customFormat="1" ht="10.9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 t="s">
        <v>44</v>
      </c>
      <c r="P5" s="18"/>
      <c r="Q5" s="18">
        <f>'Not Used - GF Summary Target'!Q5</f>
        <v>3</v>
      </c>
    </row>
    <row r="6" spans="1:18" ht="39.6">
      <c r="E6" s="20" t="s">
        <v>23</v>
      </c>
      <c r="F6" s="20"/>
      <c r="G6" s="20" t="s">
        <v>24</v>
      </c>
      <c r="H6" s="20"/>
      <c r="I6" s="20" t="s">
        <v>0</v>
      </c>
      <c r="J6" s="20"/>
      <c r="K6" s="21" t="s">
        <v>1</v>
      </c>
      <c r="L6" s="21"/>
      <c r="M6" s="21" t="s">
        <v>2</v>
      </c>
      <c r="N6" s="21"/>
      <c r="O6" s="21" t="str">
        <f>+'Not Used - GF Summary Target'!O7</f>
        <v>Target Analysis                 (3 months)</v>
      </c>
      <c r="P6" s="21"/>
      <c r="Q6" s="21" t="s">
        <v>42</v>
      </c>
    </row>
    <row r="7" spans="1:18">
      <c r="A7" s="1"/>
      <c r="B7" s="1" t="s">
        <v>3</v>
      </c>
      <c r="C7"/>
      <c r="D7"/>
    </row>
    <row r="8" spans="1:18">
      <c r="A8" s="1"/>
      <c r="B8"/>
      <c r="C8" s="14" t="s">
        <v>46</v>
      </c>
      <c r="D8"/>
      <c r="E8" s="34">
        <f>+'GF REPORT REV'!F10</f>
        <v>304252789</v>
      </c>
      <c r="F8" s="34"/>
      <c r="G8" s="34">
        <f>+'GF REPORT REV'!H10</f>
        <v>304252789</v>
      </c>
      <c r="H8" s="34"/>
      <c r="I8" s="34">
        <f>+'GF REPORT REV'!J10</f>
        <v>303013508.63</v>
      </c>
      <c r="K8" s="53">
        <f>G8-I8</f>
        <v>1239280.3700000048</v>
      </c>
      <c r="M8" s="3">
        <f t="shared" ref="M8:M10" si="0">IF(G8,K8/G8,0)</f>
        <v>4.0731931302033352E-3</v>
      </c>
      <c r="O8" s="53">
        <f>G8/12*Q$5</f>
        <v>76063197.25</v>
      </c>
      <c r="Q8" s="3">
        <f>IF(I8,I8/O8,0)</f>
        <v>3.9837072274791865</v>
      </c>
      <c r="R8" s="17" t="s">
        <v>43</v>
      </c>
    </row>
    <row r="9" spans="1:18">
      <c r="A9" s="1"/>
      <c r="B9"/>
      <c r="C9" s="14" t="s">
        <v>26</v>
      </c>
      <c r="D9"/>
      <c r="E9" s="29">
        <f>+'GF REPORT REV'!F11</f>
        <v>935000</v>
      </c>
      <c r="F9" s="29"/>
      <c r="G9" s="29">
        <f>+'GF REPORT REV'!H11</f>
        <v>935000</v>
      </c>
      <c r="H9" s="29"/>
      <c r="I9" s="29">
        <f>+'GF REPORT REV'!J11</f>
        <v>285602.52</v>
      </c>
      <c r="J9" s="28"/>
      <c r="K9" s="28">
        <f>G9-I9</f>
        <v>649397.48</v>
      </c>
      <c r="M9" s="3">
        <f t="shared" si="0"/>
        <v>0.6945427593582888</v>
      </c>
      <c r="O9" s="28">
        <f>G9/12*Q$5</f>
        <v>233750</v>
      </c>
      <c r="Q9" s="3">
        <f>IF(I9,I9/O9,0)</f>
        <v>1.221828962566845</v>
      </c>
    </row>
    <row r="10" spans="1:18">
      <c r="A10"/>
      <c r="B10"/>
      <c r="C10" s="14" t="s">
        <v>47</v>
      </c>
      <c r="D10"/>
      <c r="E10" s="29">
        <f>+'GF REPORT REV'!F12</f>
        <v>2888000</v>
      </c>
      <c r="F10" s="29"/>
      <c r="G10" s="29">
        <f>+'GF REPORT REV'!H12</f>
        <v>2888000</v>
      </c>
      <c r="H10" s="29"/>
      <c r="I10" s="29">
        <f>+'GF REPORT REV'!J12</f>
        <v>1145399.3799999999</v>
      </c>
      <c r="J10" s="28"/>
      <c r="K10" s="28">
        <f>G10-I10</f>
        <v>1742600.62</v>
      </c>
      <c r="L10" s="23"/>
      <c r="M10" s="3">
        <f t="shared" si="0"/>
        <v>0.60339356648199449</v>
      </c>
      <c r="N10" s="23"/>
      <c r="O10" s="28">
        <f>G10/12*Q$5</f>
        <v>722000</v>
      </c>
      <c r="P10" s="23"/>
      <c r="Q10" s="3">
        <f>IF(I10,I10/O10,0)</f>
        <v>1.586425734072022</v>
      </c>
    </row>
    <row r="11" spans="1:18" s="22" customFormat="1">
      <c r="A11" s="1"/>
      <c r="B11" s="1" t="s">
        <v>154</v>
      </c>
      <c r="C11" s="1"/>
      <c r="D11" s="1"/>
      <c r="E11" s="35">
        <f>SUM(E8:E10)</f>
        <v>308075789</v>
      </c>
      <c r="F11" s="25"/>
      <c r="G11" s="35">
        <f>SUM(G8:G10)</f>
        <v>308075789</v>
      </c>
      <c r="H11" s="31"/>
      <c r="I11" s="35">
        <f>SUM(I8:I10)</f>
        <v>304444510.52999997</v>
      </c>
      <c r="J11" s="31"/>
      <c r="K11" s="35">
        <f>SUM(K8:K10)</f>
        <v>3631278.4700000049</v>
      </c>
      <c r="L11" s="25"/>
      <c r="M11" s="36">
        <f>K11/G11</f>
        <v>1.1786964765348714E-2</v>
      </c>
      <c r="N11" s="25"/>
      <c r="O11" s="35">
        <f>SUM(O8:O10)</f>
        <v>77018947.25</v>
      </c>
      <c r="P11" s="25"/>
      <c r="Q11" s="37">
        <f>I11/O11</f>
        <v>3.9528521409386048</v>
      </c>
    </row>
    <row r="12" spans="1:18">
      <c r="A12" s="1"/>
      <c r="B12" s="1"/>
      <c r="C12" s="1"/>
      <c r="D12" s="1"/>
      <c r="E12" s="23"/>
      <c r="F12" s="23"/>
      <c r="G12" s="23"/>
      <c r="H12" s="23"/>
      <c r="I12" s="23"/>
      <c r="J12" s="23"/>
      <c r="K12" s="23"/>
      <c r="L12" s="23"/>
      <c r="M12" s="26"/>
      <c r="N12" s="23"/>
      <c r="O12" s="23"/>
      <c r="P12" s="23"/>
      <c r="Q12" s="26"/>
    </row>
    <row r="13" spans="1:18">
      <c r="A13"/>
      <c r="B13" s="1" t="s">
        <v>48</v>
      </c>
      <c r="C13"/>
      <c r="D13"/>
      <c r="E13" s="23"/>
      <c r="F13" s="23"/>
      <c r="G13" s="23"/>
      <c r="H13" s="23"/>
      <c r="I13" s="23"/>
      <c r="J13" s="23"/>
      <c r="K13" s="23"/>
      <c r="L13" s="23"/>
      <c r="M13" s="26"/>
      <c r="N13" s="23"/>
      <c r="O13" s="23"/>
      <c r="P13" s="23"/>
      <c r="Q13" s="26"/>
    </row>
    <row r="14" spans="1:18">
      <c r="A14"/>
      <c r="B14"/>
      <c r="C14" s="14" t="s">
        <v>49</v>
      </c>
      <c r="D14"/>
      <c r="E14" s="34">
        <f>+'GF REPORT REV'!F16</f>
        <v>142000</v>
      </c>
      <c r="F14" s="34"/>
      <c r="G14" s="34">
        <f>+'GF REPORT REV'!H16</f>
        <v>142000</v>
      </c>
      <c r="H14" s="34"/>
      <c r="I14" s="34">
        <f>+'GF REPORT REV'!J16</f>
        <v>65785.240000000005</v>
      </c>
      <c r="J14" s="28"/>
      <c r="K14" s="53">
        <f t="shared" ref="K14:K27" si="1">G14-I14</f>
        <v>76214.759999999995</v>
      </c>
      <c r="L14" s="23"/>
      <c r="M14" s="3">
        <f t="shared" ref="M14:M27" si="2">IF(G14,K14/G14,0)</f>
        <v>0.53672366197183097</v>
      </c>
      <c r="N14" s="23"/>
      <c r="O14" s="53">
        <f>G14/12*Q$5</f>
        <v>35500</v>
      </c>
      <c r="P14" s="23"/>
      <c r="Q14" s="3">
        <f>IF(I14,I14/O14,0)</f>
        <v>1.8531053521126761</v>
      </c>
    </row>
    <row r="15" spans="1:18">
      <c r="A15"/>
      <c r="B15"/>
      <c r="C15" s="14" t="s">
        <v>50</v>
      </c>
      <c r="D15"/>
      <c r="E15" s="29">
        <f>+'GF REPORT REV'!F17</f>
        <v>3512300</v>
      </c>
      <c r="F15" s="29"/>
      <c r="G15" s="29">
        <f>+'GF REPORT REV'!H17</f>
        <v>3512300</v>
      </c>
      <c r="H15" s="29"/>
      <c r="I15" s="29">
        <f>+'GF REPORT REV'!J17</f>
        <v>1886041.91</v>
      </c>
      <c r="J15" s="28"/>
      <c r="K15" s="28">
        <f t="shared" si="1"/>
        <v>1626258.09</v>
      </c>
      <c r="L15" s="23"/>
      <c r="M15" s="3">
        <f t="shared" si="2"/>
        <v>0.4630179910599892</v>
      </c>
      <c r="N15" s="23"/>
      <c r="O15" s="28">
        <f>G15/12*Q$5</f>
        <v>878075</v>
      </c>
      <c r="P15" s="23"/>
      <c r="Q15" s="3">
        <f>IF(I15,I15/O15,0)</f>
        <v>2.1479280357600432</v>
      </c>
    </row>
    <row r="16" spans="1:18">
      <c r="A16"/>
      <c r="B16"/>
      <c r="C16" s="14" t="s">
        <v>51</v>
      </c>
      <c r="D16"/>
      <c r="E16" s="29">
        <f>+'GF REPORT REV'!F18</f>
        <v>11907000</v>
      </c>
      <c r="F16" s="29"/>
      <c r="G16" s="29">
        <f>+'GF REPORT REV'!H18</f>
        <v>11907000</v>
      </c>
      <c r="H16" s="29"/>
      <c r="I16" s="29">
        <f>+'GF REPORT REV'!J18</f>
        <v>1561081.73</v>
      </c>
      <c r="J16" s="28"/>
      <c r="K16" s="28">
        <f t="shared" si="1"/>
        <v>10345918.27</v>
      </c>
      <c r="L16" s="23"/>
      <c r="M16" s="3">
        <f t="shared" si="2"/>
        <v>0.86889378264886197</v>
      </c>
      <c r="N16" s="23"/>
      <c r="O16" s="28">
        <f t="shared" ref="O16:O27" si="3">G16/12*Q$5</f>
        <v>2976750</v>
      </c>
      <c r="P16" s="23"/>
      <c r="Q16" s="3">
        <f t="shared" ref="Q16:Q27" si="4">IF(I16,I16/O16,0)</f>
        <v>0.52442486940455191</v>
      </c>
    </row>
    <row r="17" spans="1:17">
      <c r="A17"/>
      <c r="B17"/>
      <c r="C17" s="14" t="s">
        <v>52</v>
      </c>
      <c r="D17"/>
      <c r="E17" s="29">
        <f>+'GF REPORT REV'!F19</f>
        <v>600200</v>
      </c>
      <c r="F17" s="29"/>
      <c r="G17" s="29">
        <f>+'GF REPORT REV'!H19</f>
        <v>600200</v>
      </c>
      <c r="H17" s="29"/>
      <c r="I17" s="29">
        <f>+'GF REPORT REV'!J19</f>
        <v>370535.59</v>
      </c>
      <c r="J17" s="28"/>
      <c r="K17" s="28">
        <f t="shared" si="1"/>
        <v>229664.40999999997</v>
      </c>
      <c r="L17" s="23"/>
      <c r="M17" s="3">
        <f t="shared" si="2"/>
        <v>0.38264646784405193</v>
      </c>
      <c r="N17" s="23"/>
      <c r="O17" s="28">
        <f t="shared" si="3"/>
        <v>150050</v>
      </c>
      <c r="P17" s="23"/>
      <c r="Q17" s="3">
        <f t="shared" si="4"/>
        <v>2.4694141286237921</v>
      </c>
    </row>
    <row r="18" spans="1:17">
      <c r="A18"/>
      <c r="B18"/>
      <c r="C18" s="14" t="s">
        <v>54</v>
      </c>
      <c r="D18"/>
      <c r="E18" s="29">
        <f>+'GF REPORT REV'!F20</f>
        <v>130500</v>
      </c>
      <c r="F18" s="29"/>
      <c r="G18" s="29">
        <f>+'GF REPORT REV'!H20</f>
        <v>130500</v>
      </c>
      <c r="H18" s="29"/>
      <c r="I18" s="29">
        <f>+'GF REPORT REV'!J20</f>
        <v>101509.94</v>
      </c>
      <c r="J18" s="28"/>
      <c r="K18" s="28">
        <f t="shared" si="1"/>
        <v>28990.059999999998</v>
      </c>
      <c r="L18" s="23"/>
      <c r="M18" s="3">
        <f t="shared" si="2"/>
        <v>0.22214605363984671</v>
      </c>
      <c r="N18" s="23"/>
      <c r="O18" s="28">
        <f t="shared" si="3"/>
        <v>32625</v>
      </c>
      <c r="P18" s="23"/>
      <c r="Q18" s="3">
        <f t="shared" si="4"/>
        <v>3.111415785440613</v>
      </c>
    </row>
    <row r="19" spans="1:17">
      <c r="A19"/>
      <c r="B19"/>
      <c r="C19" s="14" t="s">
        <v>55</v>
      </c>
      <c r="D19"/>
      <c r="E19" s="29">
        <f>+'GF REPORT REV'!F21</f>
        <v>116000</v>
      </c>
      <c r="F19" s="29"/>
      <c r="G19" s="29">
        <f>+'GF REPORT REV'!H21</f>
        <v>116000</v>
      </c>
      <c r="H19" s="29"/>
      <c r="I19" s="29">
        <f>+'GF REPORT REV'!J21</f>
        <v>87317.72</v>
      </c>
      <c r="J19" s="28"/>
      <c r="K19" s="28">
        <f t="shared" si="1"/>
        <v>28682.28</v>
      </c>
      <c r="L19" s="23"/>
      <c r="M19" s="3">
        <f t="shared" si="2"/>
        <v>0.2472610344827586</v>
      </c>
      <c r="N19" s="23"/>
      <c r="O19" s="28">
        <f t="shared" si="3"/>
        <v>29000</v>
      </c>
      <c r="P19" s="23"/>
      <c r="Q19" s="3">
        <f t="shared" si="4"/>
        <v>3.0109558620689656</v>
      </c>
    </row>
    <row r="20" spans="1:17">
      <c r="A20"/>
      <c r="B20"/>
      <c r="C20" s="14" t="s">
        <v>56</v>
      </c>
      <c r="D20"/>
      <c r="E20" s="29">
        <f>+'GF REPORT REV'!F22</f>
        <v>196900</v>
      </c>
      <c r="F20" s="29"/>
      <c r="G20" s="29">
        <f>+'GF REPORT REV'!H22</f>
        <v>196900</v>
      </c>
      <c r="H20" s="29"/>
      <c r="I20" s="29">
        <f>+'GF REPORT REV'!J22</f>
        <v>117731.03</v>
      </c>
      <c r="J20" s="28"/>
      <c r="K20" s="28">
        <f t="shared" si="1"/>
        <v>79168.97</v>
      </c>
      <c r="L20" s="23"/>
      <c r="M20" s="3">
        <f t="shared" si="2"/>
        <v>0.4020770441848654</v>
      </c>
      <c r="N20" s="23"/>
      <c r="O20" s="28">
        <f t="shared" si="3"/>
        <v>49225</v>
      </c>
      <c r="P20" s="23"/>
      <c r="Q20" s="3">
        <f t="shared" si="4"/>
        <v>2.3916918232605382</v>
      </c>
    </row>
    <row r="21" spans="1:17">
      <c r="A21"/>
      <c r="B21"/>
      <c r="C21" s="14" t="s">
        <v>57</v>
      </c>
      <c r="D21"/>
      <c r="E21" s="29">
        <f>+'GF REPORT REV'!F23</f>
        <v>135000</v>
      </c>
      <c r="F21" s="29"/>
      <c r="G21" s="29">
        <f>+'GF REPORT REV'!H23</f>
        <v>135000</v>
      </c>
      <c r="H21" s="29"/>
      <c r="I21" s="29">
        <f>+'GF REPORT REV'!J23</f>
        <v>108979</v>
      </c>
      <c r="J21" s="28"/>
      <c r="K21" s="28">
        <f t="shared" si="1"/>
        <v>26021</v>
      </c>
      <c r="L21" s="23"/>
      <c r="M21" s="3">
        <f t="shared" si="2"/>
        <v>0.19274814814814814</v>
      </c>
      <c r="N21" s="23"/>
      <c r="O21" s="28">
        <f t="shared" si="3"/>
        <v>33750</v>
      </c>
      <c r="P21" s="23"/>
      <c r="Q21" s="3">
        <f t="shared" si="4"/>
        <v>3.2290074074074075</v>
      </c>
    </row>
    <row r="22" spans="1:17">
      <c r="A22"/>
      <c r="B22"/>
      <c r="C22" s="14" t="s">
        <v>59</v>
      </c>
      <c r="D22"/>
      <c r="E22" s="29">
        <f>+'GF REPORT REV'!F24</f>
        <v>435000</v>
      </c>
      <c r="F22" s="29"/>
      <c r="G22" s="29">
        <f>+'GF REPORT REV'!H24</f>
        <v>435000</v>
      </c>
      <c r="H22" s="29"/>
      <c r="I22" s="29">
        <f>+'GF REPORT REV'!J24</f>
        <v>214410.23999999999</v>
      </c>
      <c r="J22" s="28"/>
      <c r="K22" s="28">
        <f t="shared" si="1"/>
        <v>220589.76</v>
      </c>
      <c r="L22" s="23"/>
      <c r="M22" s="3">
        <f t="shared" si="2"/>
        <v>0.50710289655172414</v>
      </c>
      <c r="N22" s="23"/>
      <c r="O22" s="28">
        <f t="shared" si="3"/>
        <v>108750</v>
      </c>
      <c r="P22" s="23"/>
      <c r="Q22" s="3">
        <f t="shared" si="4"/>
        <v>1.9715884137931035</v>
      </c>
    </row>
    <row r="23" spans="1:17">
      <c r="A23"/>
      <c r="B23"/>
      <c r="C23" t="s">
        <v>60</v>
      </c>
      <c r="D23"/>
      <c r="E23" s="29">
        <f>+'GF REPORT REV'!F25</f>
        <v>201500</v>
      </c>
      <c r="F23" s="29"/>
      <c r="G23" s="29">
        <f>+'GF REPORT REV'!H25</f>
        <v>201500</v>
      </c>
      <c r="H23" s="29"/>
      <c r="I23" s="29">
        <f>+'GF REPORT REV'!J25</f>
        <v>110277.85</v>
      </c>
      <c r="J23" s="28"/>
      <c r="K23" s="28">
        <f t="shared" si="1"/>
        <v>91222.15</v>
      </c>
      <c r="L23" s="23"/>
      <c r="M23" s="3">
        <f t="shared" si="2"/>
        <v>0.45271538461538458</v>
      </c>
      <c r="N23" s="23"/>
      <c r="O23" s="28">
        <f t="shared" si="3"/>
        <v>50375</v>
      </c>
      <c r="P23" s="23"/>
      <c r="Q23" s="3">
        <f t="shared" si="4"/>
        <v>2.1891384615384615</v>
      </c>
    </row>
    <row r="24" spans="1:17">
      <c r="A24"/>
      <c r="B24"/>
      <c r="C24" t="s">
        <v>61</v>
      </c>
      <c r="D24"/>
      <c r="E24" s="29">
        <f>+'GF REPORT REV'!F26</f>
        <v>380000</v>
      </c>
      <c r="F24" s="29"/>
      <c r="G24" s="29">
        <f>+'GF REPORT REV'!H26</f>
        <v>380000</v>
      </c>
      <c r="H24" s="29"/>
      <c r="I24" s="29">
        <f>+'GF REPORT REV'!J26</f>
        <v>201679.9</v>
      </c>
      <c r="J24" s="28"/>
      <c r="K24" s="28">
        <f t="shared" si="1"/>
        <v>178320.1</v>
      </c>
      <c r="L24" s="23"/>
      <c r="M24" s="3">
        <f t="shared" si="2"/>
        <v>0.46926342105263158</v>
      </c>
      <c r="N24" s="23"/>
      <c r="O24" s="28">
        <f t="shared" si="3"/>
        <v>95000</v>
      </c>
      <c r="P24" s="23"/>
      <c r="Q24" s="3">
        <f t="shared" si="4"/>
        <v>2.1229463157894735</v>
      </c>
    </row>
    <row r="25" spans="1:17">
      <c r="A25"/>
      <c r="B25"/>
      <c r="C25" t="s">
        <v>62</v>
      </c>
      <c r="D25"/>
      <c r="E25" s="29">
        <f>+'GF REPORT REV'!F27</f>
        <v>263000</v>
      </c>
      <c r="F25" s="29"/>
      <c r="G25" s="29">
        <f>+'GF REPORT REV'!H27</f>
        <v>263000</v>
      </c>
      <c r="H25" s="29"/>
      <c r="I25" s="29">
        <f>+'GF REPORT REV'!J27</f>
        <v>157050.19</v>
      </c>
      <c r="J25" s="28"/>
      <c r="K25" s="28">
        <f t="shared" si="1"/>
        <v>105949.81</v>
      </c>
      <c r="L25" s="23"/>
      <c r="M25" s="3">
        <f t="shared" si="2"/>
        <v>0.40285098859315588</v>
      </c>
      <c r="N25" s="23"/>
      <c r="O25" s="28">
        <f t="shared" si="3"/>
        <v>65750</v>
      </c>
      <c r="P25" s="23"/>
      <c r="Q25" s="3">
        <f t="shared" si="4"/>
        <v>2.3885960456273763</v>
      </c>
    </row>
    <row r="26" spans="1:17">
      <c r="A26"/>
      <c r="B26"/>
      <c r="C26" s="14" t="s">
        <v>63</v>
      </c>
      <c r="D26"/>
      <c r="E26" s="29">
        <f>+'GF REPORT REV'!F28</f>
        <v>22000</v>
      </c>
      <c r="F26" s="29"/>
      <c r="G26" s="29">
        <f>+'GF REPORT REV'!H28</f>
        <v>22000</v>
      </c>
      <c r="H26" s="29"/>
      <c r="I26" s="29">
        <f>+'GF REPORT REV'!J28</f>
        <v>13967.63</v>
      </c>
      <c r="J26" s="28"/>
      <c r="K26" s="28">
        <f t="shared" ref="K26" si="5">G26-I26</f>
        <v>8032.3700000000008</v>
      </c>
      <c r="L26" s="23"/>
      <c r="M26" s="3">
        <f t="shared" si="2"/>
        <v>0.36510772727272733</v>
      </c>
      <c r="N26" s="23"/>
      <c r="O26" s="28">
        <f t="shared" ref="O26" si="6">G26/12*Q$5</f>
        <v>5500</v>
      </c>
      <c r="P26" s="23"/>
      <c r="Q26" s="3">
        <f t="shared" si="4"/>
        <v>2.5395690909090907</v>
      </c>
    </row>
    <row r="27" spans="1:17">
      <c r="A27"/>
      <c r="B27"/>
      <c r="C27" t="s">
        <v>6</v>
      </c>
      <c r="D27"/>
      <c r="E27" s="38">
        <f>+'GF REPORT REV'!F29</f>
        <v>779885</v>
      </c>
      <c r="F27" s="29"/>
      <c r="G27" s="38">
        <f>+'GF REPORT REV'!H29</f>
        <v>779885</v>
      </c>
      <c r="H27" s="29"/>
      <c r="I27" s="38">
        <f>+'GF REPORT REV'!J29</f>
        <v>328412.56</v>
      </c>
      <c r="J27" s="28"/>
      <c r="K27" s="39">
        <f t="shared" si="1"/>
        <v>451472.44</v>
      </c>
      <c r="L27" s="23"/>
      <c r="M27" s="3">
        <f t="shared" si="2"/>
        <v>0.57889617058925358</v>
      </c>
      <c r="N27" s="23"/>
      <c r="O27" s="39">
        <f t="shared" si="3"/>
        <v>194971.25</v>
      </c>
      <c r="P27" s="23"/>
      <c r="Q27" s="3">
        <f t="shared" si="4"/>
        <v>1.6844153176429859</v>
      </c>
    </row>
    <row r="28" spans="1:17" s="22" customFormat="1">
      <c r="A28" s="1"/>
      <c r="B28" s="1"/>
      <c r="C28" s="1"/>
      <c r="D28" s="1" t="s">
        <v>67</v>
      </c>
      <c r="E28" s="42">
        <f>SUM(E14:E27)</f>
        <v>18821285</v>
      </c>
      <c r="F28" s="25"/>
      <c r="G28" s="42">
        <f>SUM(G14:G27)</f>
        <v>18821285</v>
      </c>
      <c r="H28" s="31"/>
      <c r="I28" s="42">
        <f>SUM(I14:I27)</f>
        <v>5324780.53</v>
      </c>
      <c r="J28" s="31"/>
      <c r="K28" s="42">
        <f>SUM(K14:K27)</f>
        <v>13496504.469999999</v>
      </c>
      <c r="L28" s="25"/>
      <c r="M28" s="47">
        <f t="shared" ref="M28" si="7">K28/G28</f>
        <v>0.7170873014249558</v>
      </c>
      <c r="N28" s="25"/>
      <c r="O28" s="42">
        <f>SUM(O14:O27)</f>
        <v>4705321.25</v>
      </c>
      <c r="P28" s="25"/>
      <c r="Q28" s="48">
        <f>I28/O28</f>
        <v>1.1316507943001768</v>
      </c>
    </row>
    <row r="29" spans="1:17">
      <c r="A29" s="1"/>
      <c r="B29" s="1"/>
      <c r="C29" s="1"/>
      <c r="D29" s="1"/>
      <c r="E29" s="23"/>
      <c r="F29" s="23"/>
      <c r="G29" s="23"/>
      <c r="H29" s="23"/>
      <c r="I29" s="23" t="s">
        <v>43</v>
      </c>
      <c r="J29" s="23"/>
      <c r="K29" s="23"/>
      <c r="L29" s="23"/>
      <c r="M29" s="26"/>
      <c r="N29" s="23" t="s">
        <v>43</v>
      </c>
      <c r="O29" s="23" t="s">
        <v>43</v>
      </c>
      <c r="P29" s="23" t="s">
        <v>43</v>
      </c>
      <c r="Q29" s="26" t="s">
        <v>43</v>
      </c>
    </row>
    <row r="30" spans="1:17">
      <c r="A30"/>
      <c r="B30" s="1" t="s">
        <v>64</v>
      </c>
      <c r="C30"/>
      <c r="D30"/>
      <c r="E30" s="23"/>
      <c r="F30" s="23"/>
      <c r="G30" s="23"/>
      <c r="H30" s="23"/>
      <c r="I30" s="23"/>
      <c r="J30" s="23"/>
      <c r="K30" s="23"/>
      <c r="L30" s="23"/>
      <c r="M30" s="26"/>
      <c r="N30" s="23"/>
      <c r="O30" s="23"/>
      <c r="P30" s="23"/>
      <c r="Q30" s="26"/>
    </row>
    <row r="31" spans="1:17">
      <c r="A31"/>
      <c r="B31"/>
      <c r="C31" s="14" t="s">
        <v>50</v>
      </c>
      <c r="D31"/>
      <c r="E31" s="34">
        <f>+'GF REPORT REV'!F33</f>
        <v>355100</v>
      </c>
      <c r="F31" s="34"/>
      <c r="G31" s="34">
        <f>+'GF REPORT REV'!H33</f>
        <v>355100</v>
      </c>
      <c r="H31" s="34"/>
      <c r="I31" s="34">
        <f>+'GF REPORT REV'!J33</f>
        <v>173265.26</v>
      </c>
      <c r="J31" s="24"/>
      <c r="K31" s="53">
        <f t="shared" ref="K31:K36" si="8">G31-I31</f>
        <v>181834.74</v>
      </c>
      <c r="L31" s="23"/>
      <c r="M31" s="3">
        <f t="shared" ref="M31:M37" si="9">IF(G31,K31/G31,0)</f>
        <v>0.51206629118558145</v>
      </c>
      <c r="N31" s="23"/>
      <c r="O31" s="53">
        <f>G31/12*Q$5</f>
        <v>88775</v>
      </c>
      <c r="P31" s="23"/>
      <c r="Q31" s="3">
        <f t="shared" ref="Q31:Q37" si="10">IF(I31,I31/O31,0)</f>
        <v>1.951734835257674</v>
      </c>
    </row>
    <row r="32" spans="1:17">
      <c r="A32"/>
      <c r="B32"/>
      <c r="C32" s="14" t="s">
        <v>52</v>
      </c>
      <c r="D32"/>
      <c r="E32" s="29">
        <f>+'GF REPORT REV'!F34</f>
        <v>61200</v>
      </c>
      <c r="F32" s="29"/>
      <c r="G32" s="29">
        <f>+'GF REPORT REV'!H34</f>
        <v>61200</v>
      </c>
      <c r="H32" s="29"/>
      <c r="I32" s="29">
        <f>+'GF REPORT REV'!J34</f>
        <v>16032.81</v>
      </c>
      <c r="J32" s="23"/>
      <c r="K32" s="28">
        <f t="shared" si="8"/>
        <v>45167.19</v>
      </c>
      <c r="L32" s="23"/>
      <c r="M32" s="3">
        <f t="shared" si="9"/>
        <v>0.73802598039215694</v>
      </c>
      <c r="N32" s="23"/>
      <c r="O32" s="28">
        <f>G32/12*Q$5</f>
        <v>15300</v>
      </c>
      <c r="P32" s="23"/>
      <c r="Q32" s="3">
        <f t="shared" si="10"/>
        <v>1.0478960784313724</v>
      </c>
    </row>
    <row r="33" spans="1:17">
      <c r="A33"/>
      <c r="B33"/>
      <c r="C33" s="14" t="s">
        <v>53</v>
      </c>
      <c r="D33"/>
      <c r="E33" s="29" t="e">
        <f>+'GF REPORT REV'!#REF!</f>
        <v>#REF!</v>
      </c>
      <c r="F33" s="29"/>
      <c r="G33" s="29" t="e">
        <f>+'GF REPORT REV'!#REF!</f>
        <v>#REF!</v>
      </c>
      <c r="H33" s="29"/>
      <c r="I33" s="29" t="e">
        <f>+'GF REPORT REV'!#REF!</f>
        <v>#REF!</v>
      </c>
      <c r="J33" s="23"/>
      <c r="K33" s="28" t="e">
        <f t="shared" si="8"/>
        <v>#REF!</v>
      </c>
      <c r="L33" s="23"/>
      <c r="M33" s="3" t="e">
        <f t="shared" si="9"/>
        <v>#REF!</v>
      </c>
      <c r="N33" s="23"/>
      <c r="O33" s="28" t="e">
        <f t="shared" ref="O33:O37" si="11">G33/12*Q$5</f>
        <v>#REF!</v>
      </c>
      <c r="P33" s="23"/>
      <c r="Q33" s="3" t="e">
        <f t="shared" si="10"/>
        <v>#REF!</v>
      </c>
    </row>
    <row r="34" spans="1:17">
      <c r="A34"/>
      <c r="B34"/>
      <c r="C34" s="14" t="s">
        <v>54</v>
      </c>
      <c r="D34"/>
      <c r="E34" s="29">
        <f>+'GF REPORT REV'!F35</f>
        <v>139700</v>
      </c>
      <c r="F34" s="29"/>
      <c r="G34" s="29">
        <f>+'GF REPORT REV'!H35</f>
        <v>139700</v>
      </c>
      <c r="H34" s="29"/>
      <c r="I34" s="29">
        <f>+'GF REPORT REV'!J35</f>
        <v>91558.2</v>
      </c>
      <c r="J34" s="23"/>
      <c r="K34" s="28">
        <f t="shared" si="8"/>
        <v>48141.8</v>
      </c>
      <c r="L34" s="23"/>
      <c r="M34" s="3">
        <f t="shared" si="9"/>
        <v>0.34460844667143881</v>
      </c>
      <c r="N34" s="23"/>
      <c r="O34" s="28">
        <f t="shared" si="11"/>
        <v>34925</v>
      </c>
      <c r="P34" s="23"/>
      <c r="Q34" s="3">
        <f t="shared" si="10"/>
        <v>2.6215662133142446</v>
      </c>
    </row>
    <row r="35" spans="1:17">
      <c r="A35"/>
      <c r="B35"/>
      <c r="C35" s="14" t="s">
        <v>55</v>
      </c>
      <c r="D35"/>
      <c r="E35" s="29">
        <f>+'GF REPORT REV'!F36</f>
        <v>233500</v>
      </c>
      <c r="F35" s="29"/>
      <c r="G35" s="29">
        <f>+'GF REPORT REV'!H36</f>
        <v>233500</v>
      </c>
      <c r="H35" s="29"/>
      <c r="I35" s="29">
        <f>+'GF REPORT REV'!J36</f>
        <v>123556.6</v>
      </c>
      <c r="J35" s="23"/>
      <c r="K35" s="28">
        <f t="shared" si="8"/>
        <v>109943.4</v>
      </c>
      <c r="L35" s="23"/>
      <c r="M35" s="3">
        <f t="shared" si="9"/>
        <v>0.47084967880085649</v>
      </c>
      <c r="N35" s="23"/>
      <c r="O35" s="28">
        <f t="shared" si="11"/>
        <v>58375</v>
      </c>
      <c r="P35" s="23"/>
      <c r="Q35" s="3">
        <f t="shared" si="10"/>
        <v>2.1166012847965741</v>
      </c>
    </row>
    <row r="36" spans="1:17">
      <c r="A36"/>
      <c r="B36"/>
      <c r="C36" s="14" t="s">
        <v>56</v>
      </c>
      <c r="D36"/>
      <c r="E36" s="29">
        <f>+'GF REPORT REV'!F37</f>
        <v>1100000</v>
      </c>
      <c r="F36" s="29"/>
      <c r="G36" s="29">
        <f>+'GF REPORT REV'!H37</f>
        <v>1100000</v>
      </c>
      <c r="H36" s="29"/>
      <c r="I36" s="29">
        <f>+'GF REPORT REV'!J37</f>
        <v>508842.15</v>
      </c>
      <c r="J36" s="23"/>
      <c r="K36" s="28">
        <f t="shared" si="8"/>
        <v>591157.85</v>
      </c>
      <c r="L36" s="23"/>
      <c r="M36" s="3">
        <f t="shared" si="9"/>
        <v>0.5374162272727272</v>
      </c>
      <c r="N36" s="23"/>
      <c r="O36" s="28">
        <f t="shared" si="11"/>
        <v>275000</v>
      </c>
      <c r="P36" s="23"/>
      <c r="Q36" s="3">
        <f t="shared" si="10"/>
        <v>1.850335090909091</v>
      </c>
    </row>
    <row r="37" spans="1:17">
      <c r="A37"/>
      <c r="B37"/>
      <c r="C37" s="14" t="s">
        <v>57</v>
      </c>
      <c r="D37"/>
      <c r="E37" s="29">
        <f>+'GF REPORT REV'!F38</f>
        <v>520000</v>
      </c>
      <c r="F37" s="29"/>
      <c r="G37" s="29">
        <f>+'GF REPORT REV'!H38</f>
        <v>520000</v>
      </c>
      <c r="H37" s="29"/>
      <c r="I37" s="29">
        <f>+'GF REPORT REV'!J38</f>
        <v>248933.87</v>
      </c>
      <c r="J37" s="23"/>
      <c r="K37" s="28">
        <f>G37-I37</f>
        <v>271066.13</v>
      </c>
      <c r="L37" s="23"/>
      <c r="M37" s="3">
        <f t="shared" si="9"/>
        <v>0.52128101923076919</v>
      </c>
      <c r="N37" s="23"/>
      <c r="O37" s="28">
        <f t="shared" si="11"/>
        <v>130000</v>
      </c>
      <c r="P37" s="23"/>
      <c r="Q37" s="3">
        <f t="shared" si="10"/>
        <v>1.914875923076923</v>
      </c>
    </row>
    <row r="38" spans="1:17" s="22" customFormat="1">
      <c r="A38" s="1"/>
      <c r="B38" s="1"/>
      <c r="C38" s="1"/>
      <c r="D38" s="1" t="s">
        <v>68</v>
      </c>
      <c r="E38" s="46" t="e">
        <f>SUM(E31:E37)</f>
        <v>#REF!</v>
      </c>
      <c r="F38" s="25"/>
      <c r="G38" s="46" t="e">
        <f>SUM(G31:G37)</f>
        <v>#REF!</v>
      </c>
      <c r="H38" s="31"/>
      <c r="I38" s="46" t="e">
        <f>SUM(I31:I37)</f>
        <v>#REF!</v>
      </c>
      <c r="J38" s="31"/>
      <c r="K38" s="46" t="e">
        <f>SUM(K31:K37)</f>
        <v>#REF!</v>
      </c>
      <c r="L38" s="25"/>
      <c r="M38" s="47" t="e">
        <f t="shared" ref="M38" si="12">K38/G38</f>
        <v>#REF!</v>
      </c>
      <c r="N38" s="25"/>
      <c r="O38" s="46" t="e">
        <f>SUM(O31:O37)</f>
        <v>#REF!</v>
      </c>
      <c r="P38" s="25"/>
      <c r="Q38" s="48" t="e">
        <f>I38/O38</f>
        <v>#REF!</v>
      </c>
    </row>
    <row r="39" spans="1:17">
      <c r="A39" s="1"/>
      <c r="B39" s="1"/>
      <c r="C39" s="1"/>
      <c r="D39" s="1"/>
      <c r="E39" s="23"/>
      <c r="F39" s="23"/>
      <c r="G39" s="23"/>
      <c r="H39" s="23"/>
      <c r="I39" s="23"/>
      <c r="J39" s="23"/>
      <c r="K39" s="23"/>
      <c r="L39" s="23"/>
      <c r="M39" s="26"/>
      <c r="N39" s="23"/>
      <c r="O39" s="23"/>
      <c r="P39" s="23"/>
      <c r="Q39" s="26"/>
    </row>
    <row r="40" spans="1:17">
      <c r="A40"/>
      <c r="B40" s="1" t="s">
        <v>65</v>
      </c>
      <c r="C40"/>
      <c r="D40"/>
      <c r="E40" s="23"/>
      <c r="F40" s="23"/>
      <c r="G40" s="23"/>
      <c r="H40" s="23"/>
      <c r="I40" s="23"/>
      <c r="J40" s="23"/>
      <c r="K40" s="23"/>
      <c r="L40" s="23"/>
      <c r="M40" s="26"/>
      <c r="N40" s="23"/>
      <c r="O40" s="23"/>
      <c r="P40" s="23"/>
      <c r="Q40" s="26"/>
    </row>
    <row r="41" spans="1:17">
      <c r="A41"/>
      <c r="B41"/>
      <c r="C41" t="s">
        <v>7</v>
      </c>
      <c r="D41"/>
      <c r="E41" s="34">
        <f>+'GF REPORT REV'!F42</f>
        <v>14641516</v>
      </c>
      <c r="F41" s="34"/>
      <c r="G41" s="34">
        <f>+'GF REPORT REV'!H42</f>
        <v>14641516</v>
      </c>
      <c r="H41" s="34"/>
      <c r="I41" s="34">
        <f>+'GF REPORT REV'!J42</f>
        <v>7306451.5700000003</v>
      </c>
      <c r="J41" s="24"/>
      <c r="K41" s="53">
        <f>G41-I41</f>
        <v>7335064.4299999997</v>
      </c>
      <c r="L41" s="23"/>
      <c r="M41" s="3">
        <f t="shared" ref="M41:M45" si="13">IF(G41,K41/G41,0)</f>
        <v>0.5009771139819128</v>
      </c>
      <c r="N41" s="23"/>
      <c r="O41" s="53">
        <f>G41/12*Q$5</f>
        <v>3660379</v>
      </c>
      <c r="P41" s="23"/>
      <c r="Q41" s="3">
        <f t="shared" ref="Q41:Q45" si="14">IF(I41,I41/O41,0)</f>
        <v>1.9960915440723488</v>
      </c>
    </row>
    <row r="42" spans="1:17">
      <c r="A42"/>
      <c r="B42"/>
      <c r="C42" s="14" t="s">
        <v>49</v>
      </c>
      <c r="D42"/>
      <c r="E42" s="29">
        <f>+'GF REPORT REV'!F43</f>
        <v>0</v>
      </c>
      <c r="F42" s="29"/>
      <c r="G42" s="29">
        <f>+'GF REPORT REV'!H43</f>
        <v>0</v>
      </c>
      <c r="H42" s="29"/>
      <c r="I42" s="29">
        <f>+'GF REPORT REV'!J43</f>
        <v>173947.5</v>
      </c>
      <c r="J42" s="29"/>
      <c r="K42" s="60">
        <f>G42-I42</f>
        <v>-173947.5</v>
      </c>
      <c r="L42" s="29"/>
      <c r="M42" s="3">
        <f t="shared" si="13"/>
        <v>0</v>
      </c>
      <c r="N42" s="29"/>
      <c r="O42" s="60">
        <f>G42/12*Q$5</f>
        <v>0</v>
      </c>
      <c r="P42" s="23"/>
      <c r="Q42" s="3" t="e">
        <f t="shared" si="14"/>
        <v>#DIV/0!</v>
      </c>
    </row>
    <row r="43" spans="1:17">
      <c r="A43"/>
      <c r="B43"/>
      <c r="C43" t="s">
        <v>45</v>
      </c>
      <c r="D43"/>
      <c r="E43" s="29">
        <f>+'GF REPORT REV'!F44</f>
        <v>0</v>
      </c>
      <c r="F43" s="29"/>
      <c r="G43" s="29">
        <f>+'GF REPORT REV'!H44</f>
        <v>0</v>
      </c>
      <c r="H43" s="29"/>
      <c r="I43" s="29">
        <f>+'GF REPORT REV'!J44</f>
        <v>14903.2</v>
      </c>
      <c r="J43" s="29"/>
      <c r="K43" s="60">
        <f>G43-I43</f>
        <v>-14903.2</v>
      </c>
      <c r="L43" s="29"/>
      <c r="M43" s="3">
        <f t="shared" si="13"/>
        <v>0</v>
      </c>
      <c r="N43" s="29"/>
      <c r="O43" s="60">
        <f>G43/12*Q$5</f>
        <v>0</v>
      </c>
      <c r="P43" s="23"/>
      <c r="Q43" s="3" t="e">
        <f t="shared" si="14"/>
        <v>#DIV/0!</v>
      </c>
    </row>
    <row r="44" spans="1:17">
      <c r="A44"/>
      <c r="B44"/>
      <c r="C44" t="s">
        <v>8</v>
      </c>
      <c r="D44"/>
      <c r="E44" s="29">
        <f>+'GF REPORT REV'!F45</f>
        <v>909100</v>
      </c>
      <c r="F44" s="29"/>
      <c r="G44" s="29">
        <f>+'GF REPORT REV'!H45</f>
        <v>909100</v>
      </c>
      <c r="H44" s="29"/>
      <c r="I44" s="29">
        <f>+'GF REPORT REV'!J45</f>
        <v>559283.69999999995</v>
      </c>
      <c r="J44" s="29"/>
      <c r="K44" s="29">
        <f>G44-I44</f>
        <v>349816.30000000005</v>
      </c>
      <c r="L44" s="29"/>
      <c r="M44" s="3">
        <f t="shared" si="13"/>
        <v>0.38479408205917948</v>
      </c>
      <c r="N44" s="29"/>
      <c r="O44" s="60">
        <f>G44/12*Q$5</f>
        <v>227275</v>
      </c>
      <c r="P44" s="23"/>
      <c r="Q44" s="3">
        <f t="shared" si="14"/>
        <v>2.4608236717632823</v>
      </c>
    </row>
    <row r="45" spans="1:17">
      <c r="A45"/>
      <c r="B45"/>
      <c r="C45" t="s">
        <v>6</v>
      </c>
      <c r="D45"/>
      <c r="E45" s="38">
        <f>+'GF REPORT REV'!F46</f>
        <v>7027758</v>
      </c>
      <c r="F45" s="29"/>
      <c r="G45" s="38">
        <f>+'GF REPORT REV'!H46</f>
        <v>7027758</v>
      </c>
      <c r="H45" s="29"/>
      <c r="I45" s="38">
        <f>+'GF REPORT REV'!J46</f>
        <v>2797639.45</v>
      </c>
      <c r="J45" s="23"/>
      <c r="K45" s="39">
        <f>G45-I45</f>
        <v>4230118.55</v>
      </c>
      <c r="L45" s="23"/>
      <c r="M45" s="3">
        <f t="shared" si="13"/>
        <v>0.60191579590532285</v>
      </c>
      <c r="N45" s="23"/>
      <c r="O45" s="39">
        <f>G45/12*Q$5</f>
        <v>1756939.5</v>
      </c>
      <c r="P45" s="23"/>
      <c r="Q45" s="3">
        <f t="shared" si="14"/>
        <v>1.5923368163787086</v>
      </c>
    </row>
    <row r="46" spans="1:17" s="22" customFormat="1">
      <c r="A46" s="1"/>
      <c r="B46" s="1"/>
      <c r="C46" s="1"/>
      <c r="D46" s="1" t="s">
        <v>69</v>
      </c>
      <c r="E46" s="42">
        <f>SUM(E41:E45)</f>
        <v>22578374</v>
      </c>
      <c r="F46" s="25"/>
      <c r="G46" s="42">
        <f>SUM(G41:G45)</f>
        <v>22578374</v>
      </c>
      <c r="H46" s="31"/>
      <c r="I46" s="42">
        <f>SUM(I41:I45)</f>
        <v>10852225.420000002</v>
      </c>
      <c r="J46" s="31"/>
      <c r="K46" s="42">
        <f>SUM(K41:K45)</f>
        <v>11726148.579999998</v>
      </c>
      <c r="L46" s="25"/>
      <c r="M46" s="43">
        <f t="shared" ref="M46" si="15">K46/G46</f>
        <v>0.51935310222073561</v>
      </c>
      <c r="N46" s="25"/>
      <c r="O46" s="42">
        <f>SUM(O41:O45)</f>
        <v>5644593.5</v>
      </c>
      <c r="P46" s="25"/>
      <c r="Q46" s="44">
        <f t="shared" ref="Q46" si="16">I46/O46</f>
        <v>1.9225875911170578</v>
      </c>
    </row>
    <row r="47" spans="1:17">
      <c r="A47" s="1"/>
      <c r="B47" s="1"/>
      <c r="C47" s="1"/>
      <c r="D47" s="1"/>
      <c r="E47" s="23"/>
      <c r="F47" s="23"/>
      <c r="G47" s="23"/>
      <c r="H47" s="23"/>
      <c r="I47" s="23"/>
      <c r="J47" s="23"/>
      <c r="K47" s="23"/>
      <c r="L47" s="23"/>
      <c r="M47" s="26"/>
      <c r="N47" s="23"/>
      <c r="O47" s="23"/>
      <c r="P47" s="23"/>
      <c r="Q47" s="26"/>
    </row>
    <row r="48" spans="1:17">
      <c r="A48"/>
      <c r="B48" s="1" t="s">
        <v>9</v>
      </c>
      <c r="C48"/>
      <c r="D48"/>
      <c r="E48" s="23"/>
      <c r="F48" s="23"/>
      <c r="G48" s="23"/>
      <c r="H48" s="23"/>
      <c r="I48" s="23"/>
      <c r="J48" s="23"/>
      <c r="K48" s="23"/>
      <c r="L48" s="23"/>
      <c r="M48" s="26"/>
      <c r="N48" s="23"/>
      <c r="O48" s="23"/>
      <c r="P48" s="23"/>
      <c r="Q48" s="26"/>
    </row>
    <row r="49" spans="1:17">
      <c r="A49"/>
      <c r="B49"/>
      <c r="C49" s="14" t="s">
        <v>66</v>
      </c>
      <c r="D49"/>
      <c r="E49" s="34">
        <f>+'GF REPORT REV'!F50</f>
        <v>70000</v>
      </c>
      <c r="F49" s="34"/>
      <c r="G49" s="34">
        <f>+'GF REPORT REV'!H50</f>
        <v>70000</v>
      </c>
      <c r="H49" s="34"/>
      <c r="I49" s="34">
        <f>+'GF REPORT REV'!J50</f>
        <v>0</v>
      </c>
      <c r="J49" s="24"/>
      <c r="K49" s="53">
        <f>G49-I49</f>
        <v>70000</v>
      </c>
      <c r="L49" s="23"/>
      <c r="M49" s="26">
        <f>K49/G49</f>
        <v>1</v>
      </c>
      <c r="N49" s="23"/>
      <c r="O49" s="53">
        <f>G49/12*Q$5</f>
        <v>17500</v>
      </c>
      <c r="P49" s="23"/>
      <c r="Q49" s="27">
        <f>I49/O49</f>
        <v>0</v>
      </c>
    </row>
    <row r="50" spans="1:17">
      <c r="A50"/>
      <c r="B50"/>
      <c r="C50" s="14" t="s">
        <v>6</v>
      </c>
      <c r="D50"/>
      <c r="E50" s="38">
        <f>+'GF REPORT REV'!F51</f>
        <v>3599310</v>
      </c>
      <c r="F50" s="29"/>
      <c r="G50" s="38">
        <f>+'GF REPORT REV'!H51</f>
        <v>3711810</v>
      </c>
      <c r="H50" s="29"/>
      <c r="I50" s="38">
        <f>+'GF REPORT REV'!J51</f>
        <v>-2359090.29</v>
      </c>
      <c r="J50" s="23"/>
      <c r="K50" s="39">
        <f>G50-I50</f>
        <v>6070900.29</v>
      </c>
      <c r="L50" s="23"/>
      <c r="M50" s="40">
        <f>K50/G50</f>
        <v>1.6355633208596345</v>
      </c>
      <c r="N50" s="23"/>
      <c r="O50" s="39">
        <f>G50/12*Q$5</f>
        <v>927952.5</v>
      </c>
      <c r="P50" s="23"/>
      <c r="Q50" s="41">
        <f>I50/O50</f>
        <v>-2.5422532834385381</v>
      </c>
    </row>
    <row r="51" spans="1:17" s="22" customFormat="1">
      <c r="A51" s="1"/>
      <c r="B51" s="1"/>
      <c r="C51" s="1"/>
      <c r="D51" s="1" t="s">
        <v>70</v>
      </c>
      <c r="E51" s="42">
        <f>SUM(E49:E50)</f>
        <v>3669310</v>
      </c>
      <c r="F51" s="25"/>
      <c r="G51" s="42">
        <f>SUM(G49:G50)</f>
        <v>3781810</v>
      </c>
      <c r="H51" s="31"/>
      <c r="I51" s="42">
        <f>SUM(I49:I50)</f>
        <v>-2359090.29</v>
      </c>
      <c r="J51" s="31"/>
      <c r="K51" s="42">
        <f>SUM(K49:K50)</f>
        <v>6140900.29</v>
      </c>
      <c r="L51" s="25"/>
      <c r="M51" s="43">
        <f>K51/G51</f>
        <v>1.6237992627868667</v>
      </c>
      <c r="N51" s="25"/>
      <c r="O51" s="42">
        <f>SUM(O49:O50)</f>
        <v>945452.5</v>
      </c>
      <c r="P51" s="25"/>
      <c r="Q51" s="44">
        <f>I51/O51</f>
        <v>-2.4951970511474664</v>
      </c>
    </row>
    <row r="52" spans="1:17">
      <c r="A52" s="1"/>
      <c r="B52" s="1"/>
      <c r="C52" s="1"/>
      <c r="D52" s="1"/>
      <c r="E52" s="23"/>
      <c r="F52" s="23"/>
      <c r="G52" s="23"/>
      <c r="H52" s="23"/>
      <c r="I52" s="23"/>
      <c r="J52" s="23"/>
      <c r="K52" s="23"/>
      <c r="L52" s="23"/>
      <c r="M52" s="26"/>
      <c r="N52" s="23"/>
      <c r="O52" s="23"/>
      <c r="P52" s="23"/>
      <c r="Q52" s="26"/>
    </row>
    <row r="53" spans="1:17">
      <c r="A53"/>
      <c r="B53" s="1" t="s">
        <v>71</v>
      </c>
      <c r="C53"/>
      <c r="D53"/>
      <c r="E53" s="23"/>
      <c r="F53" s="23"/>
      <c r="G53" s="23"/>
      <c r="H53" s="23"/>
      <c r="I53" s="23"/>
      <c r="J53" s="23"/>
      <c r="K53" s="23"/>
      <c r="L53" s="23"/>
      <c r="M53" s="26"/>
      <c r="N53" s="23"/>
      <c r="O53" s="23"/>
      <c r="P53" s="23"/>
      <c r="Q53" s="26"/>
    </row>
    <row r="54" spans="1:17">
      <c r="A54"/>
      <c r="B54"/>
      <c r="C54" s="14" t="s">
        <v>72</v>
      </c>
      <c r="D54"/>
      <c r="E54" s="34">
        <f>+'GF REPORT REV'!F55</f>
        <v>13850315</v>
      </c>
      <c r="F54" s="34"/>
      <c r="G54" s="34">
        <f>+'GF REPORT REV'!H55</f>
        <v>13850315</v>
      </c>
      <c r="H54" s="34"/>
      <c r="I54" s="34">
        <f>+'GF REPORT REV'!J55</f>
        <v>7511601.9900000002</v>
      </c>
      <c r="J54" s="24"/>
      <c r="K54" s="53">
        <f>G54-I54</f>
        <v>6338713.0099999998</v>
      </c>
      <c r="L54" s="23"/>
      <c r="M54" s="26">
        <f>K54/G54</f>
        <v>0.45765840054901274</v>
      </c>
      <c r="N54" s="23"/>
      <c r="O54" s="53">
        <f>G54/12*Q$5</f>
        <v>3462578.75</v>
      </c>
      <c r="P54" s="23"/>
      <c r="Q54" s="27">
        <f>I54/O54</f>
        <v>2.169366397803949</v>
      </c>
    </row>
    <row r="55" spans="1:17">
      <c r="A55"/>
      <c r="B55"/>
      <c r="C55" t="s">
        <v>6</v>
      </c>
      <c r="D55"/>
      <c r="E55" s="29">
        <f>+'GF REPORT REV'!F56</f>
        <v>166200</v>
      </c>
      <c r="F55" s="29"/>
      <c r="G55" s="29">
        <f>+'GF REPORT REV'!H56</f>
        <v>166824</v>
      </c>
      <c r="H55" s="29"/>
      <c r="I55" s="29">
        <f>+'GF REPORT REV'!J56</f>
        <v>1093650.74</v>
      </c>
      <c r="J55" s="23"/>
      <c r="K55" s="28">
        <f>G55-I55</f>
        <v>-926826.74</v>
      </c>
      <c r="L55" s="23"/>
      <c r="M55" s="26">
        <f>K55/G55</f>
        <v>-5.5557158442430348</v>
      </c>
      <c r="N55" s="23"/>
      <c r="O55" s="28">
        <f>G55/12*Q$5</f>
        <v>41706</v>
      </c>
      <c r="P55" s="23"/>
      <c r="Q55" s="27">
        <f>I55/O55</f>
        <v>26.222863376972139</v>
      </c>
    </row>
    <row r="56" spans="1:17">
      <c r="A56"/>
      <c r="B56"/>
      <c r="C56" s="14" t="s">
        <v>73</v>
      </c>
      <c r="D56"/>
      <c r="E56" s="29">
        <f>+'GF REPORT REV'!F57</f>
        <v>100000</v>
      </c>
      <c r="F56" s="29"/>
      <c r="G56" s="29">
        <f>+'GF REPORT REV'!H57</f>
        <v>100000</v>
      </c>
      <c r="H56" s="29"/>
      <c r="I56" s="29">
        <f>+'GF REPORT REV'!J57</f>
        <v>22948</v>
      </c>
      <c r="J56" s="23"/>
      <c r="K56" s="28">
        <f>G56-I56</f>
        <v>77052</v>
      </c>
      <c r="L56" s="23"/>
      <c r="M56" s="26">
        <f>K56/G56</f>
        <v>0.77051999999999998</v>
      </c>
      <c r="N56" s="23"/>
      <c r="O56" s="28">
        <f>G56/12*Q$5</f>
        <v>25000</v>
      </c>
      <c r="P56" s="23"/>
      <c r="Q56" s="27">
        <f>I56/O56</f>
        <v>0.91791999999999996</v>
      </c>
    </row>
    <row r="57" spans="1:17">
      <c r="A57"/>
      <c r="B57"/>
      <c r="C57" s="14" t="s">
        <v>31</v>
      </c>
      <c r="D57"/>
      <c r="E57" s="39">
        <f>+'GF REPORT REV'!F59</f>
        <v>417219</v>
      </c>
      <c r="F57" s="29"/>
      <c r="G57" s="38">
        <f>+'GF REPORT REV'!H59</f>
        <v>417219</v>
      </c>
      <c r="H57" s="29"/>
      <c r="I57" s="38">
        <f>+'GF REPORT REV'!J59</f>
        <v>0</v>
      </c>
      <c r="J57" s="23"/>
      <c r="K57" s="39">
        <f>G57-I57</f>
        <v>417219</v>
      </c>
      <c r="L57" s="23"/>
      <c r="M57" s="40">
        <f>K57/G57</f>
        <v>1</v>
      </c>
      <c r="N57" s="23"/>
      <c r="O57" s="39">
        <f>G57/12*Q$5</f>
        <v>104304.75</v>
      </c>
      <c r="P57" s="23"/>
      <c r="Q57" s="41">
        <f>I57/O57</f>
        <v>0</v>
      </c>
    </row>
    <row r="58" spans="1:17" s="22" customFormat="1">
      <c r="A58" s="1"/>
      <c r="B58" s="1"/>
      <c r="C58" s="1"/>
      <c r="D58" s="1" t="s">
        <v>74</v>
      </c>
      <c r="E58" s="42">
        <f>SUM(E54:E57)</f>
        <v>14533734</v>
      </c>
      <c r="F58" s="25"/>
      <c r="G58" s="42">
        <f>SUM(G54:G57)</f>
        <v>14534358</v>
      </c>
      <c r="H58" s="31"/>
      <c r="I58" s="42">
        <f>SUM(I54:I57)</f>
        <v>8628200.7300000004</v>
      </c>
      <c r="J58" s="31"/>
      <c r="K58" s="42">
        <f>SUM(K54:K57)</f>
        <v>5906157.2699999996</v>
      </c>
      <c r="L58" s="25"/>
      <c r="M58" s="43">
        <f>K58/G58</f>
        <v>0.4063583179938185</v>
      </c>
      <c r="N58" s="25"/>
      <c r="O58" s="42">
        <f>SUM(O54:O57)</f>
        <v>3633589.5</v>
      </c>
      <c r="P58" s="25"/>
      <c r="Q58" s="44">
        <f>I58/O58</f>
        <v>2.374566728024726</v>
      </c>
    </row>
    <row r="59" spans="1:17">
      <c r="A59"/>
      <c r="B59"/>
      <c r="C59"/>
      <c r="D59"/>
      <c r="M59" s="26"/>
      <c r="Q59" s="26"/>
    </row>
    <row r="60" spans="1:17" s="22" customFormat="1" ht="13.8" thickBot="1">
      <c r="A60" s="1" t="s">
        <v>41</v>
      </c>
      <c r="B60" s="1"/>
      <c r="C60" s="1"/>
      <c r="D60" s="1"/>
      <c r="E60" s="30" t="e">
        <f>E58+E51+E46+E38+E28+E11</f>
        <v>#REF!</v>
      </c>
      <c r="F60" s="31"/>
      <c r="G60" s="30" t="e">
        <f>G58+G51+G46+G38+G28+G11</f>
        <v>#REF!</v>
      </c>
      <c r="H60" s="31"/>
      <c r="I60" s="30" t="e">
        <f>I58+I51+I46+I38+I28+I11</f>
        <v>#REF!</v>
      </c>
      <c r="J60" s="31"/>
      <c r="K60" s="30" t="e">
        <f>K58+K51+K46+K38+K28+K11</f>
        <v>#REF!</v>
      </c>
      <c r="L60" s="31"/>
      <c r="M60" s="32" t="e">
        <f>K60/G60</f>
        <v>#REF!</v>
      </c>
      <c r="N60" s="31"/>
      <c r="O60" s="30" t="e">
        <f>O58+O51+O46+O38+O28+O11</f>
        <v>#REF!</v>
      </c>
      <c r="P60" s="31"/>
      <c r="Q60" s="33" t="e">
        <f>I60/O60</f>
        <v>#REF!</v>
      </c>
    </row>
    <row r="61" spans="1:17" s="22" customFormat="1" ht="13.8" thickTop="1">
      <c r="E61" s="31"/>
      <c r="F61" s="31"/>
      <c r="G61" s="31"/>
      <c r="H61" s="31"/>
      <c r="I61" s="31"/>
      <c r="J61" s="31"/>
      <c r="K61" s="31"/>
      <c r="L61" s="31"/>
      <c r="M61" s="43"/>
      <c r="N61" s="31"/>
      <c r="O61" s="31"/>
      <c r="P61" s="31"/>
      <c r="Q61" s="43"/>
    </row>
  </sheetData>
  <mergeCells count="4">
    <mergeCell ref="A1:Q1"/>
    <mergeCell ref="A2:Q2"/>
    <mergeCell ref="A3:Q3"/>
    <mergeCell ref="A4:Q4"/>
  </mergeCells>
  <phoneticPr fontId="14" type="noConversion"/>
  <pageMargins left="0.35" right="0.28000000000000003" top="0.75" bottom="0.66" header="0.5" footer="0.16"/>
  <pageSetup scale="72" orientation="portrait" r:id="rId1"/>
  <headerFooter alignWithMargins="0">
    <oddFooter>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92"/>
  <sheetViews>
    <sheetView workbookViewId="0">
      <selection sqref="A1:Q1"/>
    </sheetView>
  </sheetViews>
  <sheetFormatPr defaultColWidth="9.109375" defaultRowHeight="13.2"/>
  <cols>
    <col min="1" max="1" width="1.6640625" style="17" customWidth="1"/>
    <col min="2" max="2" width="1" style="17" customWidth="1"/>
    <col min="3" max="3" width="1.6640625" style="17" customWidth="1"/>
    <col min="4" max="4" width="27.6640625" style="17" customWidth="1"/>
    <col min="5" max="5" width="15.44140625" style="17" bestFit="1" customWidth="1"/>
    <col min="6" max="6" width="0.88671875" style="17" customWidth="1"/>
    <col min="7" max="7" width="15.44140625" style="17" bestFit="1" customWidth="1"/>
    <col min="8" max="8" width="0.6640625" style="17" customWidth="1"/>
    <col min="9" max="9" width="15.44140625" style="17" bestFit="1" customWidth="1"/>
    <col min="10" max="10" width="1" style="17" customWidth="1"/>
    <col min="11" max="11" width="15.44140625" style="17" bestFit="1" customWidth="1"/>
    <col min="12" max="12" width="1" style="17" customWidth="1"/>
    <col min="13" max="13" width="10.88671875" style="17" customWidth="1"/>
    <col min="14" max="14" width="1" style="17" customWidth="1"/>
    <col min="15" max="15" width="15.44140625" style="17" bestFit="1" customWidth="1"/>
    <col min="16" max="16" width="1" style="17" customWidth="1"/>
    <col min="17" max="17" width="11.88671875" style="17" customWidth="1"/>
    <col min="18" max="16384" width="9.109375" style="17"/>
  </cols>
  <sheetData>
    <row r="1" spans="1:18" s="16" customFormat="1" ht="17.399999999999999">
      <c r="A1" s="145" t="s">
        <v>22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7"/>
    </row>
    <row r="2" spans="1:18">
      <c r="A2" s="146" t="s">
        <v>30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</row>
    <row r="3" spans="1:18" ht="13.95" customHeight="1">
      <c r="A3" s="146" t="e">
        <f>+'GF REPORT EXP'!B5:N5</f>
        <v>#VALUE!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 spans="1:18" s="19" customFormat="1" ht="10.95" customHeight="1">
      <c r="A4" s="147" t="s">
        <v>39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</row>
    <row r="5" spans="1:18" s="19" customFormat="1" ht="10.9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 t="s">
        <v>44</v>
      </c>
      <c r="P5" s="18"/>
      <c r="Q5" s="18">
        <f>+'Not Used - GF REPORT REV Target'!Q5</f>
        <v>3</v>
      </c>
    </row>
    <row r="6" spans="1:18" ht="26.4">
      <c r="E6" s="20" t="s">
        <v>23</v>
      </c>
      <c r="F6" s="20"/>
      <c r="G6" s="20" t="s">
        <v>24</v>
      </c>
      <c r="H6" s="20"/>
      <c r="I6" s="21" t="s">
        <v>11</v>
      </c>
      <c r="J6" s="20"/>
      <c r="K6" s="21" t="s">
        <v>12</v>
      </c>
      <c r="L6" s="21"/>
      <c r="M6" s="21" t="s">
        <v>13</v>
      </c>
      <c r="N6" s="21"/>
      <c r="O6" s="21" t="str">
        <f>+'Not Used - GF REPORT REV Target'!O6</f>
        <v>Target Analysis                 (3 months)</v>
      </c>
      <c r="P6" s="21"/>
      <c r="Q6" s="21" t="s">
        <v>42</v>
      </c>
    </row>
    <row r="7" spans="1:18">
      <c r="A7" s="1" t="s">
        <v>10</v>
      </c>
      <c r="B7"/>
      <c r="C7"/>
      <c r="D7"/>
    </row>
    <row r="8" spans="1:18">
      <c r="A8"/>
      <c r="B8" s="14" t="s">
        <v>82</v>
      </c>
      <c r="C8" s="1"/>
      <c r="D8"/>
    </row>
    <row r="9" spans="1:18">
      <c r="A9"/>
      <c r="B9"/>
      <c r="C9" s="14" t="s">
        <v>83</v>
      </c>
      <c r="D9"/>
      <c r="E9" s="34">
        <f>+'GF REPORT EXP'!F10</f>
        <v>555861.91</v>
      </c>
      <c r="F9" s="34"/>
      <c r="G9" s="34">
        <f>+'GF REPORT EXP'!H10</f>
        <v>508813.89</v>
      </c>
      <c r="H9" s="34"/>
      <c r="I9" s="34">
        <f>+'GF REPORT EXP'!J10</f>
        <v>202982.87</v>
      </c>
      <c r="J9" s="24"/>
      <c r="K9" s="53">
        <f t="shared" ref="K9:K26" si="0">G9-I9</f>
        <v>305831.02</v>
      </c>
      <c r="M9" s="26">
        <f t="shared" ref="M9:M27" si="1">K9/G9</f>
        <v>0.60106657072588965</v>
      </c>
      <c r="O9" s="53">
        <f>G9/12*Q$5</f>
        <v>127203.4725</v>
      </c>
      <c r="Q9" s="27">
        <f>I9/O9</f>
        <v>1.5957337170964416</v>
      </c>
    </row>
    <row r="10" spans="1:18">
      <c r="A10"/>
      <c r="B10"/>
      <c r="C10" s="14" t="s">
        <v>156</v>
      </c>
      <c r="D10"/>
      <c r="E10" s="29">
        <f>+'GF REPORT EXP'!F11</f>
        <v>989972.41</v>
      </c>
      <c r="F10" s="29"/>
      <c r="G10" s="29">
        <f>+'GF REPORT EXP'!H11</f>
        <v>1001251.37</v>
      </c>
      <c r="H10" s="29"/>
      <c r="I10" s="29">
        <f>+'GF REPORT EXP'!J11</f>
        <v>415401.29</v>
      </c>
      <c r="J10" s="23"/>
      <c r="K10" s="28">
        <f t="shared" ref="K10" si="2">G10-I10</f>
        <v>585850.08000000007</v>
      </c>
      <c r="M10" s="26">
        <f t="shared" ref="M10" si="3">K10/G10</f>
        <v>0.58511788103720652</v>
      </c>
      <c r="O10" s="28">
        <f>G10/12*Q$5</f>
        <v>250312.8425</v>
      </c>
      <c r="Q10" s="27">
        <f t="shared" ref="Q10" si="4">I10/O10</f>
        <v>1.6595284758511741</v>
      </c>
    </row>
    <row r="11" spans="1:18">
      <c r="A11"/>
      <c r="B11"/>
      <c r="C11" t="s">
        <v>84</v>
      </c>
      <c r="D11"/>
      <c r="E11" s="29">
        <f>+'GF REPORT EXP'!F12</f>
        <v>434044.46</v>
      </c>
      <c r="F11" s="29"/>
      <c r="G11" s="29">
        <f>+'GF REPORT EXP'!H12</f>
        <v>434062.44</v>
      </c>
      <c r="H11" s="29"/>
      <c r="I11" s="29">
        <f>+'GF REPORT EXP'!J12</f>
        <v>194453.63</v>
      </c>
      <c r="J11" s="23"/>
      <c r="K11" s="28">
        <f t="shared" si="0"/>
        <v>239608.81</v>
      </c>
      <c r="M11" s="26">
        <f t="shared" si="1"/>
        <v>0.55201461338142965</v>
      </c>
      <c r="O11" s="28">
        <f>G11/12*Q$5</f>
        <v>108515.61000000002</v>
      </c>
      <c r="Q11" s="27">
        <f t="shared" ref="Q11:Q26" si="5">I11/O11</f>
        <v>1.7919415464742812</v>
      </c>
    </row>
    <row r="12" spans="1:18">
      <c r="A12"/>
      <c r="B12"/>
      <c r="C12" t="s">
        <v>85</v>
      </c>
      <c r="D12"/>
      <c r="E12" s="29">
        <f>+'GF REPORT EXP'!F13</f>
        <v>442151.64</v>
      </c>
      <c r="F12" s="29"/>
      <c r="G12" s="29">
        <f>+'GF REPORT EXP'!H13</f>
        <v>442165.23</v>
      </c>
      <c r="H12" s="29"/>
      <c r="I12" s="29">
        <f>+'GF REPORT EXP'!J13</f>
        <v>199741.2</v>
      </c>
      <c r="J12" s="23"/>
      <c r="K12" s="28">
        <f t="shared" si="0"/>
        <v>242424.02999999997</v>
      </c>
      <c r="M12" s="26">
        <f t="shared" si="1"/>
        <v>0.54826570148901121</v>
      </c>
      <c r="O12" s="28">
        <f t="shared" ref="O12:O26" si="6">G12/12*Q$5</f>
        <v>110541.3075</v>
      </c>
      <c r="Q12" s="27">
        <f t="shared" si="5"/>
        <v>1.8069371940439551</v>
      </c>
    </row>
    <row r="13" spans="1:18">
      <c r="A13"/>
      <c r="B13"/>
      <c r="C13" t="s">
        <v>86</v>
      </c>
      <c r="D13"/>
      <c r="E13" s="29">
        <f>+'GF REPORT EXP'!F14</f>
        <v>445488.18</v>
      </c>
      <c r="F13" s="29"/>
      <c r="G13" s="29">
        <f>+'GF REPORT EXP'!H14</f>
        <v>445509.95</v>
      </c>
      <c r="H13" s="29"/>
      <c r="I13" s="29">
        <f>+'GF REPORT EXP'!J14</f>
        <v>200777.12</v>
      </c>
      <c r="J13" s="23"/>
      <c r="K13" s="28">
        <f t="shared" si="0"/>
        <v>244732.83000000002</v>
      </c>
      <c r="M13" s="26">
        <f t="shared" si="1"/>
        <v>0.54933190605507243</v>
      </c>
      <c r="O13" s="28">
        <f t="shared" si="6"/>
        <v>111377.48750000002</v>
      </c>
      <c r="Q13" s="27">
        <f t="shared" si="5"/>
        <v>1.8026723757797101</v>
      </c>
    </row>
    <row r="14" spans="1:18">
      <c r="A14"/>
      <c r="B14"/>
      <c r="C14" t="s">
        <v>87</v>
      </c>
      <c r="D14"/>
      <c r="E14" s="29">
        <f>+'GF REPORT EXP'!F15</f>
        <v>400684.82</v>
      </c>
      <c r="F14" s="29"/>
      <c r="G14" s="29">
        <f>+'GF REPORT EXP'!H15</f>
        <v>400705.91</v>
      </c>
      <c r="H14" s="29"/>
      <c r="I14" s="29">
        <f>+'GF REPORT EXP'!J15</f>
        <v>177632.57</v>
      </c>
      <c r="J14" s="23"/>
      <c r="K14" s="28">
        <f t="shared" si="0"/>
        <v>223073.33999999997</v>
      </c>
      <c r="M14" s="26">
        <f t="shared" si="1"/>
        <v>0.55670089817242774</v>
      </c>
      <c r="O14" s="28">
        <f t="shared" si="6"/>
        <v>100176.47749999999</v>
      </c>
      <c r="Q14" s="27">
        <f t="shared" si="5"/>
        <v>1.7731964073102893</v>
      </c>
    </row>
    <row r="15" spans="1:18">
      <c r="A15"/>
      <c r="B15"/>
      <c r="C15" s="14" t="s">
        <v>50</v>
      </c>
      <c r="D15"/>
      <c r="E15" s="29">
        <f>+'GF REPORT EXP'!F16</f>
        <v>1049491.9099999999</v>
      </c>
      <c r="F15" s="29"/>
      <c r="G15" s="29">
        <f>+'GF REPORT EXP'!H16</f>
        <v>1017058.15</v>
      </c>
      <c r="H15" s="29"/>
      <c r="I15" s="29">
        <f>+'GF REPORT EXP'!J16</f>
        <v>418880.09</v>
      </c>
      <c r="J15" s="23"/>
      <c r="K15" s="28">
        <f t="shared" si="0"/>
        <v>598178.06000000006</v>
      </c>
      <c r="M15" s="26">
        <f t="shared" si="1"/>
        <v>0.58814538775388614</v>
      </c>
      <c r="O15" s="28">
        <f t="shared" si="6"/>
        <v>254264.53750000003</v>
      </c>
      <c r="Q15" s="27">
        <f t="shared" si="5"/>
        <v>1.6474184489844557</v>
      </c>
    </row>
    <row r="16" spans="1:18">
      <c r="A16"/>
      <c r="B16"/>
      <c r="C16" s="14" t="s">
        <v>88</v>
      </c>
      <c r="D16"/>
      <c r="E16" s="29">
        <f>+'GF REPORT EXP'!F17</f>
        <v>82995965.439999998</v>
      </c>
      <c r="F16" s="29"/>
      <c r="G16" s="29">
        <f>+'GF REPORT EXP'!H17</f>
        <v>148276165.53999999</v>
      </c>
      <c r="H16" s="29"/>
      <c r="I16" s="29">
        <f>+'GF REPORT EXP'!J17</f>
        <v>36037608.520000003</v>
      </c>
      <c r="J16" s="23"/>
      <c r="K16" s="28">
        <f t="shared" si="0"/>
        <v>112238557.01999998</v>
      </c>
      <c r="M16" s="26">
        <f t="shared" si="1"/>
        <v>0.75695616089911455</v>
      </c>
      <c r="O16" s="28">
        <f t="shared" si="6"/>
        <v>37069041.384999998</v>
      </c>
      <c r="Q16" s="27">
        <f t="shared" si="5"/>
        <v>0.97217535640354147</v>
      </c>
    </row>
    <row r="17" spans="1:17">
      <c r="A17"/>
      <c r="B17"/>
      <c r="C17" s="14" t="s">
        <v>89</v>
      </c>
      <c r="D17"/>
      <c r="E17" s="29">
        <f>+'GF REPORT EXP'!F18</f>
        <v>4191718.14</v>
      </c>
      <c r="F17" s="29"/>
      <c r="G17" s="29">
        <f>+'GF REPORT EXP'!H18</f>
        <v>4191939.71</v>
      </c>
      <c r="H17" s="29"/>
      <c r="I17" s="29">
        <f>+'GF REPORT EXP'!J18</f>
        <v>1759347.48</v>
      </c>
      <c r="J17" s="23"/>
      <c r="K17" s="28">
        <f t="shared" si="0"/>
        <v>2432592.23</v>
      </c>
      <c r="M17" s="26">
        <f t="shared" si="1"/>
        <v>0.5803022939945861</v>
      </c>
      <c r="O17" s="28">
        <f t="shared" si="6"/>
        <v>1047984.9275</v>
      </c>
      <c r="Q17" s="27">
        <f t="shared" si="5"/>
        <v>1.6787908240216556</v>
      </c>
    </row>
    <row r="18" spans="1:17">
      <c r="A18"/>
      <c r="B18"/>
      <c r="C18" s="14" t="s">
        <v>90</v>
      </c>
      <c r="D18"/>
      <c r="E18" s="29">
        <f>+'GF REPORT EXP'!F20</f>
        <v>729108.21</v>
      </c>
      <c r="F18" s="29"/>
      <c r="G18" s="29">
        <f>+'GF REPORT EXP'!H20</f>
        <v>729130.23</v>
      </c>
      <c r="H18" s="29"/>
      <c r="I18" s="29">
        <f>+'GF REPORT EXP'!J20</f>
        <v>301673.46000000002</v>
      </c>
      <c r="J18" s="23"/>
      <c r="K18" s="28">
        <f t="shared" si="0"/>
        <v>427456.76999999996</v>
      </c>
      <c r="M18" s="26">
        <f t="shared" si="1"/>
        <v>0.58625572279454108</v>
      </c>
      <c r="O18" s="28">
        <f t="shared" si="6"/>
        <v>182282.5575</v>
      </c>
      <c r="Q18" s="27">
        <f t="shared" si="5"/>
        <v>1.6549771088218357</v>
      </c>
    </row>
    <row r="19" spans="1:17">
      <c r="A19"/>
      <c r="B19"/>
      <c r="C19" s="14" t="s">
        <v>142</v>
      </c>
      <c r="D19"/>
      <c r="E19" s="29">
        <f>+'GF REPORT EXP'!F21</f>
        <v>698663.32</v>
      </c>
      <c r="F19" s="29"/>
      <c r="G19" s="29">
        <f>+'GF REPORT EXP'!H21</f>
        <v>703427.01</v>
      </c>
      <c r="H19" s="29"/>
      <c r="I19" s="29">
        <f>+'GF REPORT EXP'!J21</f>
        <v>309273.96999999997</v>
      </c>
      <c r="J19" s="23"/>
      <c r="K19" s="28">
        <f>G19-I19</f>
        <v>394153.04000000004</v>
      </c>
      <c r="M19" s="26">
        <f>K19/G19</f>
        <v>0.56033253542538841</v>
      </c>
      <c r="O19" s="28">
        <f>G19/12*Q$5</f>
        <v>175856.7525</v>
      </c>
      <c r="Q19" s="27">
        <f>I19/O19</f>
        <v>1.7586698582984464</v>
      </c>
    </row>
    <row r="20" spans="1:17">
      <c r="A20"/>
      <c r="B20"/>
      <c r="C20" s="14" t="s">
        <v>91</v>
      </c>
      <c r="D20"/>
      <c r="E20" s="29">
        <f>+'GF REPORT EXP'!F22</f>
        <v>6063453.4500000002</v>
      </c>
      <c r="F20" s="29"/>
      <c r="G20" s="29">
        <f>+'GF REPORT EXP'!H22</f>
        <v>6063731.9100000001</v>
      </c>
      <c r="H20" s="29"/>
      <c r="I20" s="29">
        <f>+'GF REPORT EXP'!J22</f>
        <v>2734008.3199999998</v>
      </c>
      <c r="J20" s="23"/>
      <c r="K20" s="28">
        <f>G20-I20</f>
        <v>3329723.5900000003</v>
      </c>
      <c r="M20" s="26">
        <f>K20/G20</f>
        <v>0.54912117478491895</v>
      </c>
      <c r="O20" s="28">
        <f>G20/12*Q$5</f>
        <v>1515932.9775</v>
      </c>
      <c r="Q20" s="27">
        <f>I20/O20</f>
        <v>1.8035153008603244</v>
      </c>
    </row>
    <row r="21" spans="1:17">
      <c r="A21"/>
      <c r="B21"/>
      <c r="C21" s="14" t="s">
        <v>143</v>
      </c>
      <c r="D21"/>
      <c r="E21" s="29">
        <f>+'GF REPORT EXP'!F23</f>
        <v>423575.19</v>
      </c>
      <c r="F21" s="29"/>
      <c r="G21" s="29">
        <f>+'GF REPORT EXP'!H23</f>
        <v>406783.22</v>
      </c>
      <c r="H21" s="29"/>
      <c r="I21" s="29">
        <f>+'GF REPORT EXP'!J23</f>
        <v>180790.64</v>
      </c>
      <c r="J21" s="23"/>
      <c r="K21" s="28">
        <f>G21-I21</f>
        <v>225992.57999999996</v>
      </c>
      <c r="M21" s="26">
        <f>K21/G21</f>
        <v>0.5555602318109385</v>
      </c>
      <c r="O21" s="28">
        <f>G21/12*Q$5</f>
        <v>101695.80499999999</v>
      </c>
      <c r="Q21" s="27">
        <f>I21/O21</f>
        <v>1.7777590727562462</v>
      </c>
    </row>
    <row r="22" spans="1:17">
      <c r="A22"/>
      <c r="B22"/>
      <c r="C22" s="14" t="s">
        <v>92</v>
      </c>
      <c r="D22"/>
      <c r="E22" s="29">
        <f>+'GF REPORT EXP'!F24</f>
        <v>23643885.309999999</v>
      </c>
      <c r="F22" s="29"/>
      <c r="G22" s="29">
        <f>+'GF REPORT EXP'!H24</f>
        <v>23693148.550000001</v>
      </c>
      <c r="H22" s="29"/>
      <c r="I22" s="29">
        <f>+'GF REPORT EXP'!J24</f>
        <v>13784107.74</v>
      </c>
      <c r="J22" s="23"/>
      <c r="K22" s="28">
        <f>G22-I22</f>
        <v>9909040.8100000005</v>
      </c>
      <c r="M22" s="26">
        <f>K22/G22</f>
        <v>0.41822389240876134</v>
      </c>
      <c r="O22" s="28">
        <f>G22/12*Q$5</f>
        <v>5923287.1375000002</v>
      </c>
      <c r="Q22" s="27">
        <f>I22/O22</f>
        <v>2.3271044303649546</v>
      </c>
    </row>
    <row r="23" spans="1:17">
      <c r="A23"/>
      <c r="B23"/>
      <c r="C23" t="s">
        <v>27</v>
      </c>
      <c r="D23"/>
      <c r="E23" s="29">
        <f>+'GF REPORT EXP'!F25</f>
        <v>23586194.57</v>
      </c>
      <c r="F23" s="29"/>
      <c r="G23" s="29">
        <f>+'GF REPORT EXP'!H25</f>
        <v>23558170.59</v>
      </c>
      <c r="H23" s="29"/>
      <c r="I23" s="29">
        <f>+'GF REPORT EXP'!J25</f>
        <v>15177930.800000001</v>
      </c>
      <c r="J23" s="23"/>
      <c r="K23" s="28">
        <f t="shared" si="0"/>
        <v>8380239.7899999991</v>
      </c>
      <c r="M23" s="26">
        <f t="shared" si="1"/>
        <v>0.35572540567123889</v>
      </c>
      <c r="O23" s="28">
        <f t="shared" si="6"/>
        <v>5889542.6475</v>
      </c>
      <c r="Q23" s="27">
        <f t="shared" si="5"/>
        <v>2.5770983773150444</v>
      </c>
    </row>
    <row r="24" spans="1:17">
      <c r="A24"/>
      <c r="B24"/>
      <c r="C24" s="14" t="s">
        <v>93</v>
      </c>
      <c r="D24"/>
      <c r="E24" s="29">
        <f>+'GF REPORT EXP'!F26</f>
        <v>1745999.63</v>
      </c>
      <c r="F24" s="29"/>
      <c r="G24" s="29">
        <f>+'GF REPORT EXP'!H26</f>
        <v>1750166.5</v>
      </c>
      <c r="H24" s="29"/>
      <c r="I24" s="29">
        <f>+'GF REPORT EXP'!J26</f>
        <v>788607.49</v>
      </c>
      <c r="J24" s="23"/>
      <c r="K24" s="28">
        <f t="shared" si="0"/>
        <v>961559.01</v>
      </c>
      <c r="M24" s="26">
        <f t="shared" si="1"/>
        <v>0.54941001898962183</v>
      </c>
      <c r="O24" s="28">
        <f t="shared" si="6"/>
        <v>437541.625</v>
      </c>
      <c r="Q24" s="27">
        <f t="shared" si="5"/>
        <v>1.8023599240415127</v>
      </c>
    </row>
    <row r="25" spans="1:17">
      <c r="A25"/>
      <c r="B25"/>
      <c r="C25" s="14" t="s">
        <v>94</v>
      </c>
      <c r="D25"/>
      <c r="E25" s="29">
        <f>+'GF REPORT EXP'!F27</f>
        <v>3556650.81</v>
      </c>
      <c r="F25" s="29"/>
      <c r="G25" s="29">
        <f>+'GF REPORT EXP'!H27</f>
        <v>3560319.56</v>
      </c>
      <c r="H25" s="29"/>
      <c r="I25" s="29">
        <f>+'GF REPORT EXP'!J27</f>
        <v>2045521.57</v>
      </c>
      <c r="J25" s="23"/>
      <c r="K25" s="28">
        <f t="shared" si="0"/>
        <v>1514797.99</v>
      </c>
      <c r="M25" s="26">
        <f t="shared" si="1"/>
        <v>0.42546686174428677</v>
      </c>
      <c r="O25" s="28">
        <f t="shared" si="6"/>
        <v>890079.89000000013</v>
      </c>
      <c r="Q25" s="27">
        <f t="shared" si="5"/>
        <v>2.2981325530228527</v>
      </c>
    </row>
    <row r="26" spans="1:17">
      <c r="A26"/>
      <c r="B26"/>
      <c r="C26" t="s">
        <v>20</v>
      </c>
      <c r="D26"/>
      <c r="E26" s="29">
        <f>+'GF REPORT EXP'!F29</f>
        <v>1553614.15</v>
      </c>
      <c r="F26" s="29"/>
      <c r="G26" s="29">
        <f>+'GF REPORT EXP'!H29</f>
        <v>1557141.45</v>
      </c>
      <c r="H26" s="29"/>
      <c r="I26" s="29">
        <f>+'GF REPORT EXP'!J29</f>
        <v>655912.14</v>
      </c>
      <c r="J26" s="23"/>
      <c r="K26" s="28">
        <f t="shared" si="0"/>
        <v>901229.30999999994</v>
      </c>
      <c r="M26" s="26">
        <f t="shared" si="1"/>
        <v>0.5787716395321697</v>
      </c>
      <c r="O26" s="28">
        <f t="shared" si="6"/>
        <v>389285.36249999999</v>
      </c>
      <c r="Q26" s="27">
        <f t="shared" si="5"/>
        <v>1.6849134418713214</v>
      </c>
    </row>
    <row r="27" spans="1:17" s="22" customFormat="1">
      <c r="A27" s="1"/>
      <c r="B27" s="1"/>
      <c r="C27" s="1"/>
      <c r="D27" s="1" t="s">
        <v>95</v>
      </c>
      <c r="E27" s="35">
        <f>SUM(E9:E26)</f>
        <v>153506523.54999998</v>
      </c>
      <c r="F27" s="25"/>
      <c r="G27" s="35">
        <f>SUM(G9:G26)</f>
        <v>218739691.20999998</v>
      </c>
      <c r="H27" s="31"/>
      <c r="I27" s="35">
        <f>SUM(I9:I26)</f>
        <v>75584650.899999991</v>
      </c>
      <c r="J27" s="31"/>
      <c r="K27" s="35">
        <f>SUM(K9:K26)</f>
        <v>143155040.31</v>
      </c>
      <c r="M27" s="36">
        <f t="shared" si="1"/>
        <v>0.65445388314352471</v>
      </c>
      <c r="O27" s="35">
        <f>SUM(O9:O26)</f>
        <v>54684922.802499995</v>
      </c>
      <c r="Q27" s="37">
        <f>I27/O27</f>
        <v>1.3821844674259014</v>
      </c>
    </row>
    <row r="28" spans="1:17" ht="8.4" customHeight="1">
      <c r="A28"/>
      <c r="B28"/>
      <c r="C28"/>
      <c r="D28"/>
      <c r="E28" s="23"/>
      <c r="F28" s="23"/>
      <c r="G28" s="23"/>
      <c r="H28" s="23"/>
      <c r="I28" s="23"/>
      <c r="J28" s="23"/>
      <c r="K28" s="23"/>
      <c r="M28" s="26"/>
      <c r="O28" s="23"/>
      <c r="Q28" s="26"/>
    </row>
    <row r="29" spans="1:17">
      <c r="A29"/>
      <c r="B29" s="1" t="s">
        <v>14</v>
      </c>
      <c r="C29"/>
      <c r="D29"/>
      <c r="E29" s="23"/>
      <c r="F29" s="23"/>
      <c r="G29" s="23"/>
      <c r="H29" s="23"/>
      <c r="I29" s="23"/>
      <c r="J29" s="23"/>
      <c r="K29" s="23"/>
      <c r="M29" s="26"/>
      <c r="O29" s="23"/>
      <c r="Q29" s="26"/>
    </row>
    <row r="30" spans="1:17">
      <c r="A30"/>
      <c r="B30"/>
      <c r="C30" t="s">
        <v>96</v>
      </c>
      <c r="D30"/>
      <c r="E30" s="34">
        <f>+'GF REPORT EXP'!F34</f>
        <v>2515986.4300000002</v>
      </c>
      <c r="F30" s="34"/>
      <c r="G30" s="34">
        <f>+'GF REPORT EXP'!H34</f>
        <v>2527741.96</v>
      </c>
      <c r="H30" s="34"/>
      <c r="I30" s="34">
        <f>+'GF REPORT EXP'!J34</f>
        <v>1267665.25</v>
      </c>
      <c r="J30" s="24"/>
      <c r="K30" s="53">
        <f t="shared" ref="K30:K45" si="7">G30-I30</f>
        <v>1260076.71</v>
      </c>
      <c r="M30" s="26">
        <f t="shared" ref="M30:M46" si="8">K30/G30</f>
        <v>0.49849894884049001</v>
      </c>
      <c r="O30" s="53">
        <f>G30/12*Q$5</f>
        <v>631935.49</v>
      </c>
      <c r="Q30" s="27">
        <f t="shared" ref="Q30:Q45" si="9">I30/O30</f>
        <v>2.0060042046380397</v>
      </c>
    </row>
    <row r="31" spans="1:17">
      <c r="A31"/>
      <c r="B31"/>
      <c r="C31" t="s">
        <v>97</v>
      </c>
      <c r="D31"/>
      <c r="E31" s="29">
        <f>+'GF REPORT EXP'!F35</f>
        <v>2304844.4300000002</v>
      </c>
      <c r="F31" s="29"/>
      <c r="G31" s="29">
        <f>+'GF REPORT EXP'!H35</f>
        <v>2317960.35</v>
      </c>
      <c r="H31" s="29"/>
      <c r="I31" s="29">
        <f>+'GF REPORT EXP'!J35</f>
        <v>1131633.27</v>
      </c>
      <c r="J31" s="23"/>
      <c r="K31" s="28">
        <f t="shared" si="7"/>
        <v>1186327.08</v>
      </c>
      <c r="M31" s="26">
        <f t="shared" si="8"/>
        <v>0.51179783122692324</v>
      </c>
      <c r="O31" s="28">
        <f t="shared" ref="O31:O45" si="10">G31/12*Q$5</f>
        <v>579490.08750000002</v>
      </c>
      <c r="Q31" s="27">
        <f t="shared" si="9"/>
        <v>1.9528086750923068</v>
      </c>
    </row>
    <row r="32" spans="1:17">
      <c r="A32"/>
      <c r="B32"/>
      <c r="C32" t="s">
        <v>98</v>
      </c>
      <c r="D32"/>
      <c r="E32" s="29">
        <f>+'GF REPORT EXP'!F36</f>
        <v>2471269.37</v>
      </c>
      <c r="F32" s="29"/>
      <c r="G32" s="29">
        <f>+'GF REPORT EXP'!H36</f>
        <v>2484544.58</v>
      </c>
      <c r="H32" s="29"/>
      <c r="I32" s="29">
        <f>+'GF REPORT EXP'!J36</f>
        <v>1243157.71</v>
      </c>
      <c r="J32" s="23"/>
      <c r="K32" s="28">
        <f t="shared" si="7"/>
        <v>1241386.8700000001</v>
      </c>
      <c r="M32" s="26">
        <f t="shared" si="8"/>
        <v>0.49964362885370328</v>
      </c>
      <c r="O32" s="28">
        <f t="shared" si="10"/>
        <v>621136.14500000002</v>
      </c>
      <c r="Q32" s="27">
        <f t="shared" si="9"/>
        <v>2.0014254845851869</v>
      </c>
    </row>
    <row r="33" spans="1:17">
      <c r="A33"/>
      <c r="B33"/>
      <c r="C33" t="s">
        <v>99</v>
      </c>
      <c r="D33"/>
      <c r="E33" s="29">
        <f>+'GF REPORT EXP'!F37</f>
        <v>2788331.61</v>
      </c>
      <c r="F33" s="29"/>
      <c r="G33" s="29">
        <f>+'GF REPORT EXP'!H37</f>
        <v>2803877.37</v>
      </c>
      <c r="H33" s="29"/>
      <c r="I33" s="29">
        <f>+'GF REPORT EXP'!J37</f>
        <v>1425037.95</v>
      </c>
      <c r="J33" s="23"/>
      <c r="K33" s="28">
        <f t="shared" si="7"/>
        <v>1378839.4200000002</v>
      </c>
      <c r="M33" s="26">
        <f t="shared" si="8"/>
        <v>0.49176167073241156</v>
      </c>
      <c r="O33" s="28">
        <f t="shared" si="10"/>
        <v>700969.34250000003</v>
      </c>
      <c r="Q33" s="27">
        <f t="shared" si="9"/>
        <v>2.0329533170703535</v>
      </c>
    </row>
    <row r="34" spans="1:17">
      <c r="A34"/>
      <c r="B34"/>
      <c r="C34" s="14" t="s">
        <v>49</v>
      </c>
      <c r="D34"/>
      <c r="E34" s="29">
        <f>+'GF REPORT EXP'!F38</f>
        <v>49212447.25</v>
      </c>
      <c r="F34" s="29"/>
      <c r="G34" s="29">
        <f>+'GF REPORT EXP'!H38</f>
        <v>48798834.520000003</v>
      </c>
      <c r="H34" s="29"/>
      <c r="I34" s="29">
        <f>+'GF REPORT EXP'!J38</f>
        <v>27133695.82</v>
      </c>
      <c r="J34" s="23"/>
      <c r="K34" s="28">
        <f t="shared" si="7"/>
        <v>21665138.700000003</v>
      </c>
      <c r="M34" s="26">
        <f t="shared" si="8"/>
        <v>0.44396836344770968</v>
      </c>
      <c r="O34" s="28">
        <f t="shared" si="10"/>
        <v>12199708.630000001</v>
      </c>
      <c r="Q34" s="27">
        <f t="shared" si="9"/>
        <v>2.2241265462091611</v>
      </c>
    </row>
    <row r="35" spans="1:17">
      <c r="A35"/>
      <c r="B35"/>
      <c r="C35" s="14" t="s">
        <v>100</v>
      </c>
      <c r="D35"/>
      <c r="E35" s="29">
        <f>+'GF REPORT EXP'!F39</f>
        <v>534031.85</v>
      </c>
      <c r="F35" s="29"/>
      <c r="G35" s="29">
        <f>+'GF REPORT EXP'!H39</f>
        <v>537352.18000000005</v>
      </c>
      <c r="H35" s="29"/>
      <c r="I35" s="29">
        <f>+'GF REPORT EXP'!J39</f>
        <v>223776.88</v>
      </c>
      <c r="J35" s="23"/>
      <c r="K35" s="28">
        <f t="shared" si="7"/>
        <v>313575.30000000005</v>
      </c>
      <c r="M35" s="26">
        <f t="shared" si="8"/>
        <v>0.58355639312750163</v>
      </c>
      <c r="O35" s="28">
        <f t="shared" si="10"/>
        <v>134338.04500000001</v>
      </c>
      <c r="Q35" s="27">
        <f t="shared" si="9"/>
        <v>1.6657744274899935</v>
      </c>
    </row>
    <row r="36" spans="1:17">
      <c r="A36"/>
      <c r="B36"/>
      <c r="C36" s="14" t="s">
        <v>101</v>
      </c>
      <c r="D36"/>
      <c r="E36" s="29">
        <f>+'GF REPORT EXP'!F41</f>
        <v>44894026.780000001</v>
      </c>
      <c r="F36" s="29"/>
      <c r="G36" s="29">
        <f>+'GF REPORT EXP'!H41</f>
        <v>45067609.219999999</v>
      </c>
      <c r="H36" s="29"/>
      <c r="I36" s="29">
        <f>+'GF REPORT EXP'!J41</f>
        <v>20832195.91</v>
      </c>
      <c r="J36" s="23"/>
      <c r="K36" s="28">
        <f t="shared" si="7"/>
        <v>24235413.309999999</v>
      </c>
      <c r="M36" s="26">
        <f t="shared" si="8"/>
        <v>0.53775679982697777</v>
      </c>
      <c r="O36" s="28">
        <f t="shared" si="10"/>
        <v>11266902.305</v>
      </c>
      <c r="Q36" s="27">
        <f t="shared" si="9"/>
        <v>1.8489728006920887</v>
      </c>
    </row>
    <row r="37" spans="1:17">
      <c r="A37"/>
      <c r="B37"/>
      <c r="C37" s="14" t="s">
        <v>102</v>
      </c>
      <c r="D37"/>
      <c r="E37" s="29">
        <f>+'GF REPORT EXP'!F42</f>
        <v>14827657.08</v>
      </c>
      <c r="F37" s="29"/>
      <c r="G37" s="29">
        <f>+'GF REPORT EXP'!H42</f>
        <v>14840649.57</v>
      </c>
      <c r="H37" s="29"/>
      <c r="I37" s="29">
        <f>+'GF REPORT EXP'!J42</f>
        <v>6045896.1500000004</v>
      </c>
      <c r="J37" s="23"/>
      <c r="K37" s="28">
        <f t="shared" si="7"/>
        <v>8794753.4199999999</v>
      </c>
      <c r="M37" s="26">
        <f t="shared" si="8"/>
        <v>0.59261243104738304</v>
      </c>
      <c r="O37" s="28">
        <f t="shared" si="10"/>
        <v>3710162.3925000001</v>
      </c>
      <c r="Q37" s="27">
        <f t="shared" si="9"/>
        <v>1.6295502758104679</v>
      </c>
    </row>
    <row r="38" spans="1:17">
      <c r="A38"/>
      <c r="B38"/>
      <c r="C38" s="14" t="s">
        <v>103</v>
      </c>
      <c r="D38"/>
      <c r="E38" s="29">
        <f>+'GF REPORT EXP'!F43</f>
        <v>207607.31</v>
      </c>
      <c r="F38" s="29"/>
      <c r="G38" s="29">
        <f>+'GF REPORT EXP'!H43</f>
        <v>207607.31</v>
      </c>
      <c r="H38" s="29"/>
      <c r="I38" s="29">
        <f>+'GF REPORT EXP'!J43</f>
        <v>149514.42000000001</v>
      </c>
      <c r="J38" s="23"/>
      <c r="K38" s="28">
        <f t="shared" si="7"/>
        <v>58092.889999999985</v>
      </c>
      <c r="M38" s="26">
        <f t="shared" si="8"/>
        <v>0.27982102364314621</v>
      </c>
      <c r="O38" s="28">
        <f t="shared" si="10"/>
        <v>51901.827499999999</v>
      </c>
      <c r="Q38" s="27">
        <f t="shared" si="9"/>
        <v>2.8807159054274152</v>
      </c>
    </row>
    <row r="39" spans="1:17">
      <c r="A39"/>
      <c r="B39"/>
      <c r="C39" s="14" t="s">
        <v>131</v>
      </c>
      <c r="D39"/>
      <c r="E39" s="29">
        <f>+'GF REPORT EXP'!F44</f>
        <v>1387072.16</v>
      </c>
      <c r="F39" s="29"/>
      <c r="G39" s="29">
        <f>+'GF REPORT EXP'!H44</f>
        <v>1001423.91</v>
      </c>
      <c r="H39" s="29"/>
      <c r="I39" s="29">
        <f>+'GF REPORT EXP'!J44</f>
        <v>427566.95</v>
      </c>
      <c r="J39" s="23"/>
      <c r="K39" s="28">
        <f t="shared" si="7"/>
        <v>573856.96</v>
      </c>
      <c r="M39" s="26">
        <f t="shared" si="8"/>
        <v>0.57304100118799839</v>
      </c>
      <c r="O39" s="28">
        <f t="shared" si="10"/>
        <v>250355.97750000004</v>
      </c>
      <c r="Q39" s="27">
        <f t="shared" si="9"/>
        <v>1.7078359952480062</v>
      </c>
    </row>
    <row r="40" spans="1:17">
      <c r="A40"/>
      <c r="B40"/>
      <c r="C40" s="14" t="s">
        <v>7</v>
      </c>
      <c r="D40"/>
      <c r="E40" s="29">
        <f>+'GF REPORT EXP'!F45</f>
        <v>37798269.140000001</v>
      </c>
      <c r="F40" s="29"/>
      <c r="G40" s="29">
        <f>+'GF REPORT EXP'!H45</f>
        <v>38191049.469999999</v>
      </c>
      <c r="H40" s="29"/>
      <c r="I40" s="29">
        <f>+'GF REPORT EXP'!J45</f>
        <v>22162065.949999999</v>
      </c>
      <c r="J40" s="23"/>
      <c r="K40" s="28">
        <f t="shared" si="7"/>
        <v>16028983.52</v>
      </c>
      <c r="M40" s="26">
        <f t="shared" si="8"/>
        <v>0.41970523833316381</v>
      </c>
      <c r="O40" s="28">
        <f t="shared" si="10"/>
        <v>9547762.3674999997</v>
      </c>
      <c r="Q40" s="27">
        <f t="shared" si="9"/>
        <v>2.3211790466673445</v>
      </c>
    </row>
    <row r="41" spans="1:17">
      <c r="A41"/>
      <c r="B41"/>
      <c r="C41" s="14" t="s">
        <v>32</v>
      </c>
      <c r="D41"/>
      <c r="E41" s="29">
        <f>+'GF REPORT EXP'!F46</f>
        <v>1948199.05</v>
      </c>
      <c r="F41" s="29"/>
      <c r="G41" s="29">
        <f>+'GF REPORT EXP'!H46</f>
        <v>1929151.34</v>
      </c>
      <c r="H41" s="29"/>
      <c r="I41" s="29">
        <f>+'GF REPORT EXP'!J46</f>
        <v>454670.96</v>
      </c>
      <c r="J41" s="23"/>
      <c r="K41" s="28">
        <f t="shared" si="7"/>
        <v>1474480.3800000001</v>
      </c>
      <c r="M41" s="26">
        <f t="shared" si="8"/>
        <v>0.76431555649750116</v>
      </c>
      <c r="O41" s="28">
        <f t="shared" si="10"/>
        <v>482287.83499999996</v>
      </c>
      <c r="Q41" s="27">
        <f t="shared" si="9"/>
        <v>0.94273777400999559</v>
      </c>
    </row>
    <row r="42" spans="1:17">
      <c r="A42"/>
      <c r="B42"/>
      <c r="C42" s="14" t="s">
        <v>33</v>
      </c>
      <c r="D42"/>
      <c r="E42" s="29">
        <f>+'GF REPORT EXP'!F47</f>
        <v>1144831.79</v>
      </c>
      <c r="F42" s="29"/>
      <c r="G42" s="29">
        <f>+'GF REPORT EXP'!H47</f>
        <v>1164647.1499999999</v>
      </c>
      <c r="H42" s="29"/>
      <c r="I42" s="29">
        <f>+'GF REPORT EXP'!J47</f>
        <v>616779.37</v>
      </c>
      <c r="J42" s="23"/>
      <c r="K42" s="28">
        <f t="shared" si="7"/>
        <v>547867.77999999991</v>
      </c>
      <c r="M42" s="26">
        <f t="shared" si="8"/>
        <v>0.47041524980334171</v>
      </c>
      <c r="O42" s="28">
        <f t="shared" si="10"/>
        <v>291161.78749999998</v>
      </c>
      <c r="Q42" s="27">
        <f t="shared" si="9"/>
        <v>2.1183390007866332</v>
      </c>
    </row>
    <row r="43" spans="1:17">
      <c r="A43"/>
      <c r="B43"/>
      <c r="C43" s="14" t="s">
        <v>104</v>
      </c>
      <c r="D43"/>
      <c r="E43" s="29">
        <f>+'GF REPORT EXP'!F48</f>
        <v>9643970.7400000002</v>
      </c>
      <c r="F43" s="29"/>
      <c r="G43" s="29">
        <f>+'GF REPORT EXP'!H48</f>
        <v>9746474.1799999997</v>
      </c>
      <c r="H43" s="29"/>
      <c r="I43" s="29">
        <f>+'GF REPORT EXP'!J48</f>
        <v>3817036.2</v>
      </c>
      <c r="J43" s="23"/>
      <c r="K43" s="28">
        <f t="shared" si="7"/>
        <v>5929437.9799999995</v>
      </c>
      <c r="M43" s="26">
        <f t="shared" si="8"/>
        <v>0.60836748453788037</v>
      </c>
      <c r="O43" s="28">
        <f t="shared" si="10"/>
        <v>2436618.5449999999</v>
      </c>
      <c r="Q43" s="27">
        <f t="shared" si="9"/>
        <v>1.5665300618484788</v>
      </c>
    </row>
    <row r="44" spans="1:17">
      <c r="A44"/>
      <c r="B44"/>
      <c r="C44" s="14" t="s">
        <v>132</v>
      </c>
      <c r="D44"/>
      <c r="E44" s="29">
        <f>+'GF REPORT EXP'!F49</f>
        <v>921142.04</v>
      </c>
      <c r="F44" s="29"/>
      <c r="G44" s="29">
        <f>+'GF REPORT EXP'!H49</f>
        <v>937343.57</v>
      </c>
      <c r="H44" s="29"/>
      <c r="I44" s="29">
        <f>+'GF REPORT EXP'!J49</f>
        <v>435826.89</v>
      </c>
      <c r="J44" s="23"/>
      <c r="K44" s="28">
        <f t="shared" si="7"/>
        <v>501516.67999999993</v>
      </c>
      <c r="M44" s="26">
        <f t="shared" si="8"/>
        <v>0.53504040146133391</v>
      </c>
      <c r="O44" s="28">
        <f t="shared" si="10"/>
        <v>234335.89249999996</v>
      </c>
      <c r="Q44" s="27">
        <f t="shared" si="9"/>
        <v>1.8598383941546646</v>
      </c>
    </row>
    <row r="45" spans="1:17">
      <c r="A45"/>
      <c r="B45"/>
      <c r="C45" s="14" t="s">
        <v>148</v>
      </c>
      <c r="D45"/>
      <c r="E45" s="29">
        <f>+'GF REPORT EXP'!F50</f>
        <v>3844364.02</v>
      </c>
      <c r="F45" s="29"/>
      <c r="G45" s="29">
        <f>+'GF REPORT EXP'!H50</f>
        <v>3862387.09</v>
      </c>
      <c r="H45" s="29"/>
      <c r="I45" s="29">
        <f>+'GF REPORT EXP'!J50</f>
        <v>2622367.35</v>
      </c>
      <c r="J45" s="23"/>
      <c r="K45" s="28">
        <f t="shared" si="7"/>
        <v>1240019.7399999998</v>
      </c>
      <c r="M45" s="26">
        <f t="shared" si="8"/>
        <v>0.32105009443784149</v>
      </c>
      <c r="O45" s="28">
        <f t="shared" si="10"/>
        <v>965596.77249999996</v>
      </c>
      <c r="Q45" s="27">
        <f t="shared" si="9"/>
        <v>2.715799622248634</v>
      </c>
    </row>
    <row r="46" spans="1:17" s="22" customFormat="1">
      <c r="A46" s="1"/>
      <c r="B46" s="1"/>
      <c r="C46" s="1"/>
      <c r="D46" s="1" t="s">
        <v>105</v>
      </c>
      <c r="E46" s="35">
        <f>SUM(E30:E45)</f>
        <v>176444051.05000001</v>
      </c>
      <c r="F46" s="25"/>
      <c r="G46" s="35">
        <f>SUM(G30:G45)</f>
        <v>176418653.77000001</v>
      </c>
      <c r="H46" s="31"/>
      <c r="I46" s="35">
        <f>SUM(I30:I45)</f>
        <v>89988887.030000001</v>
      </c>
      <c r="J46" s="31"/>
      <c r="K46" s="35">
        <f>SUM(K30:K45)</f>
        <v>86429766.74000001</v>
      </c>
      <c r="M46" s="36">
        <f t="shared" si="8"/>
        <v>0.48991285724626354</v>
      </c>
      <c r="O46" s="35">
        <f>SUM(O30:O45)</f>
        <v>44104663.442500003</v>
      </c>
      <c r="Q46" s="37">
        <f>I46/O46</f>
        <v>2.0403485710149458</v>
      </c>
    </row>
    <row r="47" spans="1:17" ht="6.75" customHeight="1">
      <c r="A47"/>
      <c r="B47"/>
      <c r="C47"/>
      <c r="D47"/>
      <c r="E47" s="23"/>
      <c r="F47" s="23"/>
      <c r="G47" s="23"/>
      <c r="H47" s="23"/>
      <c r="I47" s="23"/>
      <c r="J47" s="23"/>
      <c r="K47" s="23"/>
      <c r="M47" s="26"/>
      <c r="O47" s="23"/>
      <c r="Q47" s="26"/>
    </row>
    <row r="48" spans="1:17">
      <c r="A48"/>
      <c r="B48" s="1" t="s">
        <v>15</v>
      </c>
      <c r="C48"/>
      <c r="D48"/>
      <c r="E48" s="23"/>
      <c r="F48" s="23"/>
      <c r="G48" s="23"/>
      <c r="H48" s="23"/>
      <c r="I48" s="23"/>
      <c r="J48" s="23"/>
      <c r="K48" s="23"/>
      <c r="M48" s="26"/>
      <c r="O48" s="23"/>
      <c r="Q48" s="26"/>
    </row>
    <row r="49" spans="1:17">
      <c r="A49"/>
      <c r="B49"/>
      <c r="C49" s="14" t="s">
        <v>106</v>
      </c>
      <c r="D49"/>
      <c r="E49" s="34">
        <f>+'GF REPORT EXP'!F54</f>
        <v>3151302.97</v>
      </c>
      <c r="F49" s="34"/>
      <c r="G49" s="34">
        <f>+'GF REPORT EXP'!H54</f>
        <v>3153368.54</v>
      </c>
      <c r="H49" s="34"/>
      <c r="I49" s="34">
        <f>+'GF REPORT EXP'!J54</f>
        <v>1551385.57</v>
      </c>
      <c r="J49" s="24"/>
      <c r="K49" s="53">
        <f t="shared" ref="K49:K69" si="11">G49-I49</f>
        <v>1601982.97</v>
      </c>
      <c r="M49" s="26">
        <f t="shared" ref="M49:M70" si="12">K49/G49</f>
        <v>0.50802275397851215</v>
      </c>
      <c r="O49" s="53">
        <f>G49/12*Q$5</f>
        <v>788342.13500000001</v>
      </c>
      <c r="Q49" s="27">
        <f t="shared" ref="Q49:Q69" si="13">I49/O49</f>
        <v>1.9679089840859516</v>
      </c>
    </row>
    <row r="50" spans="1:17">
      <c r="A50"/>
      <c r="B50"/>
      <c r="C50" t="s">
        <v>107</v>
      </c>
      <c r="D50"/>
      <c r="E50" s="29">
        <f>+'GF REPORT EXP'!F55</f>
        <v>721231.67</v>
      </c>
      <c r="F50" s="29"/>
      <c r="G50" s="29">
        <f>+'GF REPORT EXP'!H55</f>
        <v>721292.17</v>
      </c>
      <c r="H50" s="29"/>
      <c r="I50" s="29">
        <f>+'GF REPORT EXP'!J55</f>
        <v>321272.03999999998</v>
      </c>
      <c r="J50" s="24"/>
      <c r="K50" s="28">
        <f t="shared" si="11"/>
        <v>400020.13000000006</v>
      </c>
      <c r="M50" s="26">
        <f t="shared" si="12"/>
        <v>0.55458820522063901</v>
      </c>
      <c r="O50" s="28">
        <f t="shared" ref="O50:O69" si="14">G50/12*Q$5</f>
        <v>180323.04250000001</v>
      </c>
      <c r="Q50" s="27">
        <f t="shared" si="13"/>
        <v>1.781647179117444</v>
      </c>
    </row>
    <row r="51" spans="1:17">
      <c r="A51"/>
      <c r="B51"/>
      <c r="C51" t="s">
        <v>108</v>
      </c>
      <c r="D51"/>
      <c r="E51" s="29">
        <f>+'GF REPORT EXP'!F56</f>
        <v>735889.62</v>
      </c>
      <c r="F51" s="29"/>
      <c r="G51" s="29">
        <f>+'GF REPORT EXP'!H56</f>
        <v>735951.44</v>
      </c>
      <c r="H51" s="29"/>
      <c r="I51" s="29">
        <f>+'GF REPORT EXP'!J56</f>
        <v>322775.52</v>
      </c>
      <c r="J51" s="23"/>
      <c r="K51" s="28">
        <f t="shared" si="11"/>
        <v>413175.91999999993</v>
      </c>
      <c r="M51" s="26">
        <f t="shared" si="12"/>
        <v>0.56141736742848136</v>
      </c>
      <c r="O51" s="28">
        <f t="shared" si="14"/>
        <v>183987.86</v>
      </c>
      <c r="Q51" s="27">
        <f t="shared" si="13"/>
        <v>1.7543305302860746</v>
      </c>
    </row>
    <row r="52" spans="1:17">
      <c r="A52"/>
      <c r="B52"/>
      <c r="C52" t="s">
        <v>109</v>
      </c>
      <c r="D52"/>
      <c r="E52" s="29">
        <f>+'GF REPORT EXP'!F57</f>
        <v>737097.98</v>
      </c>
      <c r="F52" s="29"/>
      <c r="G52" s="29">
        <f>+'GF REPORT EXP'!H57</f>
        <v>737156.96</v>
      </c>
      <c r="H52" s="29"/>
      <c r="I52" s="29">
        <f>+'GF REPORT EXP'!J57</f>
        <v>330024.78000000003</v>
      </c>
      <c r="J52" s="23"/>
      <c r="K52" s="28">
        <f t="shared" si="11"/>
        <v>407132.17999999993</v>
      </c>
      <c r="M52" s="26">
        <f t="shared" si="12"/>
        <v>0.5523005304053562</v>
      </c>
      <c r="O52" s="28">
        <f t="shared" si="14"/>
        <v>184289.24</v>
      </c>
      <c r="Q52" s="27">
        <f t="shared" si="13"/>
        <v>1.7907978783785752</v>
      </c>
    </row>
    <row r="53" spans="1:17">
      <c r="A53"/>
      <c r="B53"/>
      <c r="C53" t="s">
        <v>110</v>
      </c>
      <c r="D53"/>
      <c r="E53" s="29">
        <f>+'GF REPORT EXP'!F58</f>
        <v>859946.46</v>
      </c>
      <c r="F53" s="29"/>
      <c r="G53" s="29">
        <f>+'GF REPORT EXP'!H58</f>
        <v>860004.53</v>
      </c>
      <c r="H53" s="29"/>
      <c r="I53" s="29">
        <f>+'GF REPORT EXP'!J58</f>
        <v>322368.17</v>
      </c>
      <c r="J53" s="23"/>
      <c r="K53" s="28">
        <f t="shared" si="11"/>
        <v>537636.3600000001</v>
      </c>
      <c r="M53" s="26">
        <f t="shared" si="12"/>
        <v>0.62515526517052189</v>
      </c>
      <c r="O53" s="28">
        <f t="shared" si="14"/>
        <v>215001.13250000001</v>
      </c>
      <c r="Q53" s="27">
        <f t="shared" si="13"/>
        <v>1.4993789393179124</v>
      </c>
    </row>
    <row r="54" spans="1:17">
      <c r="A54"/>
      <c r="B54"/>
      <c r="C54" s="14" t="s">
        <v>16</v>
      </c>
      <c r="D54"/>
      <c r="E54" s="29">
        <f>+'GF REPORT EXP'!F60</f>
        <v>5483214.0899999999</v>
      </c>
      <c r="F54" s="29"/>
      <c r="G54" s="29">
        <f>+'GF REPORT EXP'!H60</f>
        <v>5483237.6399999997</v>
      </c>
      <c r="H54" s="29"/>
      <c r="I54" s="29">
        <f>+'GF REPORT EXP'!J60</f>
        <v>2334016.44</v>
      </c>
      <c r="J54" s="23"/>
      <c r="K54" s="28">
        <f t="shared" si="11"/>
        <v>3149221.1999999997</v>
      </c>
      <c r="M54" s="26">
        <f t="shared" si="12"/>
        <v>0.57433607783594076</v>
      </c>
      <c r="O54" s="28">
        <f t="shared" si="14"/>
        <v>1370809.41</v>
      </c>
      <c r="Q54" s="27">
        <f t="shared" si="13"/>
        <v>1.7026556886562372</v>
      </c>
    </row>
    <row r="55" spans="1:17">
      <c r="A55"/>
      <c r="B55"/>
      <c r="C55" s="14" t="s">
        <v>151</v>
      </c>
      <c r="D55"/>
      <c r="E55" s="29">
        <f>+'GF REPORT EXP'!F61</f>
        <v>777349.33</v>
      </c>
      <c r="F55" s="29"/>
      <c r="G55" s="29">
        <f>+'GF REPORT EXP'!H61</f>
        <v>778156.31</v>
      </c>
      <c r="H55" s="29"/>
      <c r="I55" s="29">
        <f>+'GF REPORT EXP'!J61</f>
        <v>329123.36</v>
      </c>
      <c r="J55" s="23"/>
      <c r="K55" s="28">
        <f t="shared" si="11"/>
        <v>449032.95000000007</v>
      </c>
      <c r="M55" s="26">
        <f t="shared" si="12"/>
        <v>0.57704723874821506</v>
      </c>
      <c r="O55" s="28">
        <f t="shared" si="14"/>
        <v>194539.07750000001</v>
      </c>
      <c r="Q55" s="27">
        <f t="shared" si="13"/>
        <v>1.6918110450071397</v>
      </c>
    </row>
    <row r="56" spans="1:17">
      <c r="A56"/>
      <c r="B56"/>
      <c r="C56" t="s">
        <v>111</v>
      </c>
      <c r="D56"/>
      <c r="E56" s="29">
        <f>+'GF REPORT EXP'!F62</f>
        <v>2258197</v>
      </c>
      <c r="F56" s="29"/>
      <c r="G56" s="29">
        <f>+'GF REPORT EXP'!H62</f>
        <v>2258348.33</v>
      </c>
      <c r="H56" s="29"/>
      <c r="I56" s="29">
        <f>+'GF REPORT EXP'!J62</f>
        <v>1104898.92</v>
      </c>
      <c r="J56" s="23"/>
      <c r="K56" s="28">
        <f t="shared" si="11"/>
        <v>1153449.4100000001</v>
      </c>
      <c r="M56" s="26">
        <f t="shared" si="12"/>
        <v>0.51074911459739258</v>
      </c>
      <c r="O56" s="28">
        <f t="shared" si="14"/>
        <v>564587.08250000002</v>
      </c>
      <c r="Q56" s="27">
        <f t="shared" si="13"/>
        <v>1.9570035416104297</v>
      </c>
    </row>
    <row r="57" spans="1:17">
      <c r="A57"/>
      <c r="B57"/>
      <c r="C57" t="s">
        <v>112</v>
      </c>
      <c r="D57"/>
      <c r="E57" s="29">
        <f>+'GF REPORT EXP'!F65</f>
        <v>394601.98</v>
      </c>
      <c r="F57" s="29"/>
      <c r="G57" s="29">
        <f>+'GF REPORT EXP'!H65</f>
        <v>394625.19</v>
      </c>
      <c r="H57" s="29"/>
      <c r="I57" s="29">
        <f>+'GF REPORT EXP'!J65</f>
        <v>152902.59</v>
      </c>
      <c r="J57" s="23"/>
      <c r="K57" s="28">
        <f t="shared" si="11"/>
        <v>241722.6</v>
      </c>
      <c r="M57" s="26">
        <f t="shared" si="12"/>
        <v>0.61253717736569224</v>
      </c>
      <c r="O57" s="28">
        <f t="shared" si="14"/>
        <v>98656.297500000015</v>
      </c>
      <c r="Q57" s="27">
        <f t="shared" si="13"/>
        <v>1.5498512905372308</v>
      </c>
    </row>
    <row r="58" spans="1:17">
      <c r="A58"/>
      <c r="B58"/>
      <c r="C58" t="s">
        <v>113</v>
      </c>
      <c r="D58"/>
      <c r="E58" s="29">
        <f>+'GF REPORT EXP'!F66</f>
        <v>407800.95</v>
      </c>
      <c r="F58" s="29"/>
      <c r="G58" s="29">
        <f>+'GF REPORT EXP'!H66</f>
        <v>407825.68</v>
      </c>
      <c r="H58" s="29"/>
      <c r="I58" s="29">
        <f>+'GF REPORT EXP'!J66</f>
        <v>179549.29</v>
      </c>
      <c r="J58" s="23"/>
      <c r="K58" s="28">
        <f t="shared" si="11"/>
        <v>228276.38999999998</v>
      </c>
      <c r="M58" s="26">
        <f t="shared" si="12"/>
        <v>0.55974010758714354</v>
      </c>
      <c r="O58" s="28">
        <f t="shared" si="14"/>
        <v>101956.42000000001</v>
      </c>
      <c r="Q58" s="27">
        <f t="shared" si="13"/>
        <v>1.7610395696514254</v>
      </c>
    </row>
    <row r="59" spans="1:17">
      <c r="A59"/>
      <c r="B59"/>
      <c r="C59" t="s">
        <v>114</v>
      </c>
      <c r="D59"/>
      <c r="E59" s="29">
        <f>+'GF REPORT EXP'!F67</f>
        <v>395057.44</v>
      </c>
      <c r="F59" s="29"/>
      <c r="G59" s="29">
        <f>+'GF REPORT EXP'!H67</f>
        <v>395081.61</v>
      </c>
      <c r="H59" s="29"/>
      <c r="I59" s="29">
        <f>+'GF REPORT EXP'!J67</f>
        <v>174086.08</v>
      </c>
      <c r="J59" s="23"/>
      <c r="K59" s="28">
        <f t="shared" si="11"/>
        <v>220995.53</v>
      </c>
      <c r="M59" s="26">
        <f t="shared" si="12"/>
        <v>0.55936678500424253</v>
      </c>
      <c r="O59" s="28">
        <f t="shared" si="14"/>
        <v>98770.402499999997</v>
      </c>
      <c r="Q59" s="27">
        <f t="shared" si="13"/>
        <v>1.7625328599830297</v>
      </c>
    </row>
    <row r="60" spans="1:17">
      <c r="A60"/>
      <c r="B60"/>
      <c r="C60" t="s">
        <v>115</v>
      </c>
      <c r="D60"/>
      <c r="E60" s="29">
        <f>+'GF REPORT EXP'!F68</f>
        <v>374262.72</v>
      </c>
      <c r="F60" s="29"/>
      <c r="G60" s="29">
        <f>+'GF REPORT EXP'!H68</f>
        <v>374286.5</v>
      </c>
      <c r="H60" s="29"/>
      <c r="I60" s="29">
        <f>+'GF REPORT EXP'!J68</f>
        <v>160885.03</v>
      </c>
      <c r="J60" s="23"/>
      <c r="K60" s="28">
        <f t="shared" si="11"/>
        <v>213401.47</v>
      </c>
      <c r="M60" s="26">
        <f t="shared" si="12"/>
        <v>0.57015540234552942</v>
      </c>
      <c r="O60" s="28">
        <f t="shared" si="14"/>
        <v>93571.625</v>
      </c>
      <c r="Q60" s="27">
        <f t="shared" si="13"/>
        <v>1.7193783906178823</v>
      </c>
    </row>
    <row r="61" spans="1:17">
      <c r="A61"/>
      <c r="B61"/>
      <c r="C61" s="14" t="s">
        <v>58</v>
      </c>
      <c r="D61"/>
      <c r="E61" s="29">
        <f>+'GF REPORT EXP'!F69</f>
        <v>399792.14</v>
      </c>
      <c r="F61" s="29"/>
      <c r="G61" s="29">
        <f>+'GF REPORT EXP'!H69</f>
        <v>399816.36</v>
      </c>
      <c r="H61" s="29"/>
      <c r="I61" s="29">
        <f>+'GF REPORT EXP'!J69</f>
        <v>176318.32</v>
      </c>
      <c r="J61" s="23"/>
      <c r="K61" s="28">
        <f t="shared" si="11"/>
        <v>223498.03999999998</v>
      </c>
      <c r="M61" s="26">
        <f t="shared" si="12"/>
        <v>0.55900173769777706</v>
      </c>
      <c r="O61" s="28">
        <f t="shared" si="14"/>
        <v>99954.09</v>
      </c>
      <c r="Q61" s="27">
        <f t="shared" si="13"/>
        <v>1.763993049208892</v>
      </c>
    </row>
    <row r="62" spans="1:17">
      <c r="A62"/>
      <c r="B62"/>
      <c r="C62" s="14" t="s">
        <v>52</v>
      </c>
      <c r="D62"/>
      <c r="E62" s="29">
        <f>+'GF REPORT EXP'!F72</f>
        <v>9951490.5</v>
      </c>
      <c r="F62" s="29"/>
      <c r="G62" s="29">
        <f>+'GF REPORT EXP'!H72</f>
        <v>10110589.07</v>
      </c>
      <c r="H62" s="29"/>
      <c r="I62" s="29">
        <f>+'GF REPORT EXP'!J72</f>
        <v>4359562.01</v>
      </c>
      <c r="J62" s="23"/>
      <c r="K62" s="28">
        <f t="shared" si="11"/>
        <v>5751027.0600000005</v>
      </c>
      <c r="M62" s="26">
        <f t="shared" si="12"/>
        <v>0.56881226407117746</v>
      </c>
      <c r="O62" s="28">
        <f t="shared" si="14"/>
        <v>2527647.2675000001</v>
      </c>
      <c r="Q62" s="27">
        <f t="shared" si="13"/>
        <v>1.7247509437152901</v>
      </c>
    </row>
    <row r="63" spans="1:17">
      <c r="A63"/>
      <c r="B63"/>
      <c r="C63" t="s">
        <v>116</v>
      </c>
      <c r="D63"/>
      <c r="E63" s="29">
        <f>+'GF REPORT EXP'!F73</f>
        <v>3262829.26</v>
      </c>
      <c r="F63" s="29"/>
      <c r="G63" s="29">
        <f>+'GF REPORT EXP'!H73</f>
        <v>3261932.05</v>
      </c>
      <c r="H63" s="29"/>
      <c r="I63" s="29">
        <f>+'GF REPORT EXP'!J73</f>
        <v>1334287.8500000001</v>
      </c>
      <c r="J63" s="23"/>
      <c r="K63" s="28">
        <f t="shared" si="11"/>
        <v>1927644.1999999997</v>
      </c>
      <c r="M63" s="26">
        <f t="shared" si="12"/>
        <v>0.59095167233787105</v>
      </c>
      <c r="O63" s="28">
        <f t="shared" si="14"/>
        <v>815483.01249999995</v>
      </c>
      <c r="Q63" s="27">
        <f t="shared" si="13"/>
        <v>1.636193310648516</v>
      </c>
    </row>
    <row r="64" spans="1:17">
      <c r="A64"/>
      <c r="B64"/>
      <c r="C64" t="s">
        <v>117</v>
      </c>
      <c r="D64"/>
      <c r="E64" s="29">
        <f>+'GF REPORT EXP'!F74</f>
        <v>1493096.27</v>
      </c>
      <c r="F64" s="29"/>
      <c r="G64" s="29">
        <f>+'GF REPORT EXP'!H74</f>
        <v>1493140.03</v>
      </c>
      <c r="H64" s="29"/>
      <c r="I64" s="29">
        <f>+'GF REPORT EXP'!J74</f>
        <v>618480.94999999995</v>
      </c>
      <c r="J64" s="23"/>
      <c r="K64" s="28">
        <f t="shared" si="11"/>
        <v>874659.08000000007</v>
      </c>
      <c r="M64" s="26">
        <f t="shared" si="12"/>
        <v>0.58578503182986796</v>
      </c>
      <c r="O64" s="28">
        <f t="shared" si="14"/>
        <v>373285.00750000001</v>
      </c>
      <c r="Q64" s="27">
        <f t="shared" si="13"/>
        <v>1.6568598726805279</v>
      </c>
    </row>
    <row r="65" spans="1:17">
      <c r="A65"/>
      <c r="B65"/>
      <c r="C65" t="s">
        <v>118</v>
      </c>
      <c r="D65"/>
      <c r="E65" s="29">
        <f>+'GF REPORT EXP'!F75</f>
        <v>1717054.38</v>
      </c>
      <c r="F65" s="29"/>
      <c r="G65" s="29">
        <f>+'GF REPORT EXP'!H75</f>
        <v>1717289.9</v>
      </c>
      <c r="H65" s="29"/>
      <c r="I65" s="29">
        <f>+'GF REPORT EXP'!J75</f>
        <v>749084.6</v>
      </c>
      <c r="J65" s="23"/>
      <c r="K65" s="28">
        <f t="shared" si="11"/>
        <v>968205.29999999993</v>
      </c>
      <c r="M65" s="26">
        <f t="shared" si="12"/>
        <v>0.56379840119015434</v>
      </c>
      <c r="O65" s="28">
        <f t="shared" si="14"/>
        <v>429322.47499999998</v>
      </c>
      <c r="Q65" s="27">
        <f t="shared" si="13"/>
        <v>1.7448063952393826</v>
      </c>
    </row>
    <row r="66" spans="1:17">
      <c r="A66"/>
      <c r="B66"/>
      <c r="C66" t="s">
        <v>119</v>
      </c>
      <c r="D66"/>
      <c r="E66" s="29">
        <f>+'GF REPORT EXP'!F76</f>
        <v>2255932.5</v>
      </c>
      <c r="F66" s="29"/>
      <c r="G66" s="29">
        <f>+'GF REPORT EXP'!H76</f>
        <v>2256860.9700000002</v>
      </c>
      <c r="H66" s="29"/>
      <c r="I66" s="29">
        <f>+'GF REPORT EXP'!J76</f>
        <v>877444.94</v>
      </c>
      <c r="J66" s="23"/>
      <c r="K66" s="28">
        <f t="shared" si="11"/>
        <v>1379416.0300000003</v>
      </c>
      <c r="M66" s="26">
        <f t="shared" si="12"/>
        <v>0.61121001618455928</v>
      </c>
      <c r="O66" s="28">
        <f t="shared" si="14"/>
        <v>564215.24250000005</v>
      </c>
      <c r="Q66" s="27">
        <f t="shared" si="13"/>
        <v>1.5551599352617629</v>
      </c>
    </row>
    <row r="67" spans="1:17">
      <c r="A67"/>
      <c r="B67"/>
      <c r="C67" s="14" t="s">
        <v>63</v>
      </c>
      <c r="D67"/>
      <c r="E67" s="29">
        <f>+'GF REPORT EXP'!F77</f>
        <v>2058707.95</v>
      </c>
      <c r="F67" s="29"/>
      <c r="G67" s="29">
        <f>+'GF REPORT EXP'!H77</f>
        <v>2058748.02</v>
      </c>
      <c r="H67" s="29"/>
      <c r="I67" s="29">
        <f>+'GF REPORT EXP'!J77</f>
        <v>812588.96</v>
      </c>
      <c r="J67" s="23"/>
      <c r="K67" s="28">
        <f t="shared" si="11"/>
        <v>1246159.06</v>
      </c>
      <c r="M67" s="26">
        <f t="shared" si="12"/>
        <v>0.60529945767719551</v>
      </c>
      <c r="O67" s="28">
        <f t="shared" si="14"/>
        <v>514687.005</v>
      </c>
      <c r="Q67" s="27">
        <f t="shared" si="13"/>
        <v>1.578802169291218</v>
      </c>
    </row>
    <row r="68" spans="1:17">
      <c r="A68"/>
      <c r="B68"/>
      <c r="C68" s="14" t="s">
        <v>50</v>
      </c>
      <c r="D68"/>
      <c r="E68" s="29">
        <f>+'GF REPORT EXP'!F78</f>
        <v>9708167.0199999996</v>
      </c>
      <c r="F68" s="29"/>
      <c r="G68" s="29">
        <f>+'GF REPORT EXP'!H78</f>
        <v>9821630.3000000007</v>
      </c>
      <c r="H68" s="29"/>
      <c r="I68" s="29">
        <f>+'GF REPORT EXP'!J78</f>
        <v>4311273.72</v>
      </c>
      <c r="J68" s="23"/>
      <c r="K68" s="28">
        <f t="shared" si="11"/>
        <v>5510356.580000001</v>
      </c>
      <c r="M68" s="26">
        <f t="shared" si="12"/>
        <v>0.56104296452697888</v>
      </c>
      <c r="O68" s="28">
        <f t="shared" si="14"/>
        <v>2455407.5750000002</v>
      </c>
      <c r="Q68" s="27">
        <f t="shared" si="13"/>
        <v>1.7558281418920847</v>
      </c>
    </row>
    <row r="69" spans="1:17">
      <c r="A69"/>
      <c r="B69"/>
      <c r="C69" s="14" t="s">
        <v>120</v>
      </c>
      <c r="D69"/>
      <c r="E69" s="29">
        <f>+'GF REPORT EXP'!F79</f>
        <v>1800553.31</v>
      </c>
      <c r="F69" s="29"/>
      <c r="G69" s="29">
        <f>+'GF REPORT EXP'!H79</f>
        <v>1833086.39</v>
      </c>
      <c r="H69" s="29"/>
      <c r="I69" s="29">
        <f>+'GF REPORT EXP'!J79</f>
        <v>788930.82</v>
      </c>
      <c r="J69" s="23"/>
      <c r="K69" s="28">
        <f t="shared" si="11"/>
        <v>1044155.57</v>
      </c>
      <c r="M69" s="26">
        <f t="shared" si="12"/>
        <v>0.56961612703916265</v>
      </c>
      <c r="O69" s="28">
        <f t="shared" si="14"/>
        <v>458271.59749999997</v>
      </c>
      <c r="Q69" s="27">
        <f t="shared" si="13"/>
        <v>1.7215354918433494</v>
      </c>
    </row>
    <row r="70" spans="1:17" s="22" customFormat="1">
      <c r="A70" s="1"/>
      <c r="B70" s="1"/>
      <c r="C70" s="1"/>
      <c r="D70" s="1" t="s">
        <v>121</v>
      </c>
      <c r="E70" s="35">
        <f>SUM(E49:E69)</f>
        <v>48943575.540000007</v>
      </c>
      <c r="F70" s="25"/>
      <c r="G70" s="35">
        <f>SUM(G49:G69)</f>
        <v>49252427.99000001</v>
      </c>
      <c r="H70" s="31"/>
      <c r="I70" s="35">
        <f>SUM(I49:I69)</f>
        <v>21311259.959999997</v>
      </c>
      <c r="J70" s="31"/>
      <c r="K70" s="35">
        <f>SUM(K49:K69)</f>
        <v>27941168.030000005</v>
      </c>
      <c r="M70" s="36">
        <f t="shared" si="12"/>
        <v>0.56730539326250173</v>
      </c>
      <c r="O70" s="35">
        <f>SUM(O49:O69)</f>
        <v>12313106.997500002</v>
      </c>
      <c r="Q70" s="37">
        <f>I70/O70</f>
        <v>1.7307784269499924</v>
      </c>
    </row>
    <row r="71" spans="1:17" ht="6.75" customHeight="1">
      <c r="A71"/>
      <c r="B71"/>
      <c r="C71"/>
      <c r="D71"/>
      <c r="E71" s="23"/>
      <c r="F71" s="23"/>
      <c r="G71" s="23"/>
      <c r="H71" s="23"/>
      <c r="I71" s="23"/>
      <c r="J71" s="23"/>
      <c r="K71" s="23"/>
      <c r="M71" s="26"/>
      <c r="O71" s="23"/>
      <c r="Q71" s="26"/>
    </row>
    <row r="72" spans="1:17">
      <c r="A72"/>
      <c r="B72" s="1" t="s">
        <v>122</v>
      </c>
      <c r="C72"/>
      <c r="D72"/>
      <c r="E72" s="23"/>
      <c r="F72" s="23"/>
      <c r="G72" s="23"/>
      <c r="H72" s="23"/>
      <c r="I72" s="23"/>
      <c r="J72" s="23"/>
      <c r="K72" s="23"/>
      <c r="M72" s="26"/>
      <c r="O72" s="23"/>
      <c r="Q72" s="26"/>
    </row>
    <row r="73" spans="1:17">
      <c r="A73"/>
      <c r="B73"/>
      <c r="C73" s="14" t="s">
        <v>123</v>
      </c>
      <c r="D73"/>
      <c r="E73" s="34">
        <f>+'GF REPORT EXP'!F83</f>
        <v>687666.62</v>
      </c>
      <c r="F73" s="34"/>
      <c r="G73" s="34">
        <f>+'GF REPORT EXP'!H83</f>
        <v>709396.86</v>
      </c>
      <c r="H73" s="34"/>
      <c r="I73" s="34">
        <f>+'GF REPORT EXP'!J83</f>
        <v>290528.62</v>
      </c>
      <c r="J73" s="24"/>
      <c r="K73" s="53">
        <f t="shared" ref="K73:K81" si="15">G73-I73</f>
        <v>418868.24</v>
      </c>
      <c r="M73" s="26">
        <f t="shared" ref="M73:M82" si="16">K73/G73</f>
        <v>0.59045685654712365</v>
      </c>
      <c r="O73" s="53">
        <f>G73/12*Q$5</f>
        <v>177349.215</v>
      </c>
      <c r="Q73" s="27">
        <f t="shared" ref="Q73:Q81" si="17">I73/O73</f>
        <v>1.6381725738115052</v>
      </c>
    </row>
    <row r="74" spans="1:17">
      <c r="A74"/>
      <c r="B74"/>
      <c r="C74" s="14" t="s">
        <v>124</v>
      </c>
      <c r="D74"/>
      <c r="E74" s="34">
        <f>+'GF REPORT EXP'!F84</f>
        <v>6251285.75</v>
      </c>
      <c r="F74" s="29"/>
      <c r="G74" s="34">
        <f>+'GF REPORT EXP'!H84</f>
        <v>6251361.75</v>
      </c>
      <c r="H74" s="29"/>
      <c r="I74" s="34">
        <f>+'GF REPORT EXP'!J84</f>
        <v>2571073.79</v>
      </c>
      <c r="J74" s="23"/>
      <c r="K74" s="53">
        <f t="shared" si="15"/>
        <v>3680287.96</v>
      </c>
      <c r="M74" s="26">
        <f t="shared" si="16"/>
        <v>0.58871780376491567</v>
      </c>
      <c r="O74" s="28">
        <f t="shared" ref="O74:O81" si="18">G74/12*Q$5</f>
        <v>1562840.4375</v>
      </c>
      <c r="Q74" s="27">
        <f t="shared" si="17"/>
        <v>1.6451287849403373</v>
      </c>
    </row>
    <row r="75" spans="1:17">
      <c r="A75"/>
      <c r="B75"/>
      <c r="C75" s="14" t="s">
        <v>149</v>
      </c>
      <c r="D75"/>
      <c r="E75" s="34">
        <f>+'GF REPORT EXP'!F85</f>
        <v>2160</v>
      </c>
      <c r="F75" s="29"/>
      <c r="G75" s="34">
        <f>+'GF REPORT EXP'!H85</f>
        <v>2160</v>
      </c>
      <c r="H75" s="29"/>
      <c r="I75" s="34">
        <f>+'GF REPORT EXP'!J85</f>
        <v>470.74</v>
      </c>
      <c r="J75" s="23"/>
      <c r="K75" s="53">
        <f t="shared" si="15"/>
        <v>1689.26</v>
      </c>
      <c r="M75" s="26">
        <f t="shared" si="16"/>
        <v>0.78206481481481482</v>
      </c>
      <c r="O75" s="28">
        <f t="shared" ref="O75" si="19">G75/12*Q$5</f>
        <v>540</v>
      </c>
      <c r="Q75" s="27">
        <f t="shared" ref="Q75" si="20">I75/O75</f>
        <v>0.8717407407407407</v>
      </c>
    </row>
    <row r="76" spans="1:17">
      <c r="A76"/>
      <c r="B76"/>
      <c r="C76" s="14" t="s">
        <v>125</v>
      </c>
      <c r="D76"/>
      <c r="E76" s="34">
        <f>+'GF REPORT EXP'!F86</f>
        <v>1924204.63</v>
      </c>
      <c r="F76" s="29"/>
      <c r="G76" s="34">
        <f>+'GF REPORT EXP'!H86</f>
        <v>1924204.63</v>
      </c>
      <c r="H76" s="29"/>
      <c r="I76" s="34">
        <f>+'GF REPORT EXP'!J86</f>
        <v>1784111.2</v>
      </c>
      <c r="J76" s="23"/>
      <c r="K76" s="53">
        <f t="shared" si="15"/>
        <v>140093.42999999993</v>
      </c>
      <c r="M76" s="26">
        <f t="shared" si="16"/>
        <v>7.2805889672970983E-2</v>
      </c>
      <c r="O76" s="28">
        <f t="shared" si="18"/>
        <v>481051.15749999997</v>
      </c>
      <c r="Q76" s="27">
        <f t="shared" si="17"/>
        <v>3.7087764413081161</v>
      </c>
    </row>
    <row r="77" spans="1:17">
      <c r="A77"/>
      <c r="B77"/>
      <c r="C77" s="14" t="s">
        <v>126</v>
      </c>
      <c r="D77"/>
      <c r="E77" s="34">
        <f>+'GF REPORT EXP'!F87</f>
        <v>510073.07</v>
      </c>
      <c r="F77" s="29"/>
      <c r="G77" s="34">
        <f>+'GF REPORT EXP'!H87</f>
        <v>510203</v>
      </c>
      <c r="H77" s="29"/>
      <c r="I77" s="34">
        <f>+'GF REPORT EXP'!J87</f>
        <v>218751.8</v>
      </c>
      <c r="J77" s="23"/>
      <c r="K77" s="53">
        <f t="shared" si="15"/>
        <v>291451.2</v>
      </c>
      <c r="M77" s="26">
        <f t="shared" si="16"/>
        <v>0.57124556304059371</v>
      </c>
      <c r="O77" s="28">
        <f t="shared" si="18"/>
        <v>127550.75</v>
      </c>
      <c r="Q77" s="27">
        <f t="shared" si="17"/>
        <v>1.7150177478376254</v>
      </c>
    </row>
    <row r="78" spans="1:17">
      <c r="A78"/>
      <c r="B78"/>
      <c r="C78" s="14" t="s">
        <v>127</v>
      </c>
      <c r="D78"/>
      <c r="E78" s="34">
        <f>+'GF REPORT EXP'!F88</f>
        <v>5710980.9800000004</v>
      </c>
      <c r="F78" s="29"/>
      <c r="G78" s="34">
        <f>+'GF REPORT EXP'!H88</f>
        <v>5724146.9699999997</v>
      </c>
      <c r="H78" s="29"/>
      <c r="I78" s="34">
        <f>+'GF REPORT EXP'!J88</f>
        <v>2926371.17</v>
      </c>
      <c r="J78" s="23"/>
      <c r="K78" s="53">
        <f t="shared" si="15"/>
        <v>2797775.8</v>
      </c>
      <c r="M78" s="26">
        <f t="shared" si="16"/>
        <v>0.48876728963512267</v>
      </c>
      <c r="O78" s="28">
        <f t="shared" si="18"/>
        <v>1431036.7424999999</v>
      </c>
      <c r="Q78" s="27">
        <f t="shared" si="17"/>
        <v>2.0449308414595091</v>
      </c>
    </row>
    <row r="79" spans="1:17">
      <c r="A79"/>
      <c r="B79"/>
      <c r="C79" s="14" t="s">
        <v>128</v>
      </c>
      <c r="D79"/>
      <c r="E79" s="34">
        <f>+'GF REPORT EXP'!F89</f>
        <v>2182262.62</v>
      </c>
      <c r="F79" s="29"/>
      <c r="G79" s="34">
        <f>+'GF REPORT EXP'!H89</f>
        <v>2182262.62</v>
      </c>
      <c r="H79" s="29"/>
      <c r="I79" s="34">
        <f>+'GF REPORT EXP'!J89</f>
        <v>1080931.19</v>
      </c>
      <c r="J79" s="23"/>
      <c r="K79" s="53">
        <f t="shared" si="15"/>
        <v>1101331.4300000002</v>
      </c>
      <c r="M79" s="26">
        <f t="shared" si="16"/>
        <v>0.50467410288134806</v>
      </c>
      <c r="O79" s="28">
        <f t="shared" si="18"/>
        <v>545565.65500000003</v>
      </c>
      <c r="Q79" s="27">
        <f t="shared" si="17"/>
        <v>1.981303588474608</v>
      </c>
    </row>
    <row r="80" spans="1:17">
      <c r="A80"/>
      <c r="B80"/>
      <c r="C80" s="14" t="s">
        <v>129</v>
      </c>
      <c r="D80"/>
      <c r="E80" s="34">
        <f>+'GF REPORT EXP'!F90</f>
        <v>102500</v>
      </c>
      <c r="F80" s="29"/>
      <c r="G80" s="34">
        <f>+'GF REPORT EXP'!H90</f>
        <v>102500</v>
      </c>
      <c r="H80" s="29"/>
      <c r="I80" s="34">
        <f>+'GF REPORT EXP'!J90</f>
        <v>-17900</v>
      </c>
      <c r="J80" s="23"/>
      <c r="K80" s="53">
        <f t="shared" si="15"/>
        <v>120400</v>
      </c>
      <c r="M80" s="26">
        <f t="shared" si="16"/>
        <v>1.1746341463414633</v>
      </c>
      <c r="O80" s="28">
        <f t="shared" ref="O80" si="21">G80/12*Q$5</f>
        <v>25625</v>
      </c>
      <c r="Q80" s="27">
        <f t="shared" ref="Q80" si="22">I80/O80</f>
        <v>-0.69853658536585361</v>
      </c>
    </row>
    <row r="81" spans="1:17">
      <c r="A81"/>
      <c r="B81"/>
      <c r="C81" s="14" t="s">
        <v>155</v>
      </c>
      <c r="D81"/>
      <c r="E81" s="34">
        <f>+'GF REPORT EXP'!F91</f>
        <v>1305214.8</v>
      </c>
      <c r="F81" s="29"/>
      <c r="G81" s="34">
        <f>+'GF REPORT EXP'!H91</f>
        <v>1328502.96</v>
      </c>
      <c r="H81" s="29"/>
      <c r="I81" s="34">
        <f>+'GF REPORT EXP'!J91</f>
        <v>550037.36</v>
      </c>
      <c r="J81" s="23"/>
      <c r="K81" s="53">
        <f t="shared" si="15"/>
        <v>778465.6</v>
      </c>
      <c r="M81" s="26">
        <f t="shared" si="16"/>
        <v>0.58597204781538459</v>
      </c>
      <c r="O81" s="28">
        <f t="shared" si="18"/>
        <v>332125.74</v>
      </c>
      <c r="Q81" s="27">
        <f t="shared" si="17"/>
        <v>1.6561118087384614</v>
      </c>
    </row>
    <row r="82" spans="1:17" s="22" customFormat="1">
      <c r="A82"/>
      <c r="B82" s="1"/>
      <c r="C82" s="1"/>
      <c r="D82" s="1" t="s">
        <v>130</v>
      </c>
      <c r="E82" s="35">
        <f>SUM(E73:E81)</f>
        <v>18676348.470000003</v>
      </c>
      <c r="F82" s="25"/>
      <c r="G82" s="35">
        <f>SUM(G73:G81)</f>
        <v>18734738.790000003</v>
      </c>
      <c r="H82" s="31"/>
      <c r="I82" s="35">
        <f>SUM(I73:I81)</f>
        <v>9404375.8699999992</v>
      </c>
      <c r="J82" s="31"/>
      <c r="K82" s="35">
        <f>SUM(K73:K81)</f>
        <v>9330362.9199999999</v>
      </c>
      <c r="M82" s="36">
        <f t="shared" si="16"/>
        <v>0.49802471358609202</v>
      </c>
      <c r="O82" s="35">
        <f>SUM(O73:O81)</f>
        <v>4683684.6975000007</v>
      </c>
      <c r="Q82" s="37">
        <f>I82/O82</f>
        <v>2.007901145655631</v>
      </c>
    </row>
    <row r="83" spans="1:17" ht="8.4" customHeight="1">
      <c r="A83"/>
      <c r="B83"/>
      <c r="C83"/>
      <c r="D83"/>
      <c r="E83" s="23"/>
      <c r="F83" s="23"/>
      <c r="G83" s="23"/>
      <c r="H83" s="23"/>
      <c r="I83" s="23"/>
      <c r="J83" s="23"/>
      <c r="K83" s="23"/>
      <c r="M83" s="26"/>
      <c r="O83" s="23"/>
      <c r="Q83" s="26"/>
    </row>
    <row r="84" spans="1:17" s="22" customFormat="1" ht="13.8" thickBot="1">
      <c r="A84"/>
      <c r="B84" s="1"/>
      <c r="C84" s="1"/>
      <c r="D84" s="1" t="s">
        <v>81</v>
      </c>
      <c r="E84" s="30">
        <f>E27+E46+E70+E82</f>
        <v>397570498.61000007</v>
      </c>
      <c r="F84" s="31"/>
      <c r="G84" s="30">
        <f>G27+G46+G70+G82</f>
        <v>463145511.76000005</v>
      </c>
      <c r="H84" s="31"/>
      <c r="I84" s="30">
        <f>I27+I46+I70+I82</f>
        <v>196289173.76000002</v>
      </c>
      <c r="J84" s="31"/>
      <c r="K84" s="30">
        <f>K27+K46+K70+K82</f>
        <v>266856338</v>
      </c>
      <c r="M84" s="32">
        <f>K84/G84</f>
        <v>0.57618249820864886</v>
      </c>
      <c r="O84" s="30">
        <f>O27+O46+O70+O82</f>
        <v>115786377.94000001</v>
      </c>
      <c r="Q84" s="33">
        <f>I84/O84</f>
        <v>1.6952700071654041</v>
      </c>
    </row>
    <row r="85" spans="1:17" ht="13.8" thickTop="1">
      <c r="A85"/>
    </row>
    <row r="86" spans="1:17">
      <c r="A86"/>
    </row>
    <row r="87" spans="1:17">
      <c r="A87"/>
    </row>
    <row r="88" spans="1:17">
      <c r="A88"/>
    </row>
    <row r="89" spans="1:17">
      <c r="A89"/>
    </row>
    <row r="90" spans="1:17">
      <c r="A90" s="1"/>
    </row>
    <row r="91" spans="1:17">
      <c r="A91"/>
    </row>
    <row r="92" spans="1:17">
      <c r="A92" s="1"/>
    </row>
  </sheetData>
  <mergeCells count="4">
    <mergeCell ref="A1:Q1"/>
    <mergeCell ref="A2:Q2"/>
    <mergeCell ref="A3:Q3"/>
    <mergeCell ref="A4:Q4"/>
  </mergeCells>
  <phoneticPr fontId="14" type="noConversion"/>
  <pageMargins left="0.52" right="0.52" top="0.55000000000000004" bottom="0.39" header="0.5" footer="0.16"/>
  <pageSetup scale="70" orientation="portrait" r:id="rId1"/>
  <headerFooter alignWithMargins="0">
    <oddFooter>Page &amp;P of &amp;N</oddFooter>
  </headerFooter>
  <rowBreaks count="1" manualBreakCount="1">
    <brk id="85" max="1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61"/>
  <sheetViews>
    <sheetView workbookViewId="0">
      <selection sqref="A1:Q1"/>
    </sheetView>
  </sheetViews>
  <sheetFormatPr defaultColWidth="9.109375" defaultRowHeight="13.2"/>
  <cols>
    <col min="1" max="1" width="1.44140625" style="17" customWidth="1"/>
    <col min="2" max="2" width="1.33203125" style="17" customWidth="1"/>
    <col min="3" max="3" width="2.6640625" style="17" customWidth="1"/>
    <col min="4" max="4" width="29" style="17" customWidth="1"/>
    <col min="5" max="5" width="16" style="17" bestFit="1" customWidth="1"/>
    <col min="6" max="6" width="0.88671875" style="17" customWidth="1"/>
    <col min="7" max="7" width="15.5546875" style="17" customWidth="1"/>
    <col min="8" max="8" width="1.33203125" style="17" customWidth="1"/>
    <col min="9" max="9" width="15.88671875" style="17" customWidth="1"/>
    <col min="10" max="10" width="1.109375" style="17" customWidth="1"/>
    <col min="11" max="11" width="15" style="17" bestFit="1" customWidth="1"/>
    <col min="12" max="12" width="1" style="17" customWidth="1"/>
    <col min="13" max="13" width="12.44140625" style="17" customWidth="1"/>
    <col min="14" max="14" width="1" style="17" customWidth="1"/>
    <col min="15" max="15" width="15" style="17" bestFit="1" customWidth="1"/>
    <col min="16" max="16" width="1" style="17" customWidth="1"/>
    <col min="17" max="17" width="11.88671875" style="17" customWidth="1"/>
    <col min="18" max="16384" width="9.109375" style="17"/>
  </cols>
  <sheetData>
    <row r="1" spans="1:17" s="16" customFormat="1" ht="17.399999999999999">
      <c r="A1" s="145" t="s">
        <v>22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</row>
    <row r="2" spans="1:17" ht="15.6">
      <c r="A2" s="148" t="s">
        <v>29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</row>
    <row r="3" spans="1:17" ht="13.95" customHeight="1">
      <c r="A3" s="146" t="e">
        <f>+'R&amp;B and Debt Svc'!B5:N5</f>
        <v>#VALUE!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 spans="1:17" ht="10.95" customHeight="1">
      <c r="A4" s="147" t="s">
        <v>39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</row>
    <row r="5" spans="1:17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 t="s">
        <v>44</v>
      </c>
      <c r="P5" s="18"/>
      <c r="Q5" s="18">
        <f>+'Not Used - GF REPORT EXP Target'!Q5</f>
        <v>3</v>
      </c>
    </row>
    <row r="6" spans="1:17" ht="26.4">
      <c r="E6" s="20" t="s">
        <v>23</v>
      </c>
      <c r="F6" s="20"/>
      <c r="G6" s="20" t="s">
        <v>24</v>
      </c>
      <c r="H6" s="20"/>
      <c r="I6" s="20" t="s">
        <v>0</v>
      </c>
      <c r="J6" s="20"/>
      <c r="K6" s="21" t="s">
        <v>1</v>
      </c>
      <c r="L6" s="21"/>
      <c r="M6" s="21" t="s">
        <v>2</v>
      </c>
      <c r="N6" s="21"/>
      <c r="O6" s="21" t="str">
        <f>+'Not Used - GF REPORT EXP Target'!O6</f>
        <v>Target Analysis                 (3 months)</v>
      </c>
      <c r="P6" s="21"/>
      <c r="Q6" s="21" t="s">
        <v>42</v>
      </c>
    </row>
    <row r="7" spans="1:17">
      <c r="A7" s="1" t="s">
        <v>34</v>
      </c>
      <c r="B7"/>
      <c r="C7"/>
      <c r="D7"/>
    </row>
    <row r="8" spans="1:17">
      <c r="A8" s="1"/>
      <c r="B8"/>
      <c r="C8" t="s">
        <v>46</v>
      </c>
      <c r="D8"/>
      <c r="E8" s="55">
        <f>+'R&amp;B and Debt Svc'!F9</f>
        <v>62160140</v>
      </c>
      <c r="F8" s="24"/>
      <c r="G8" s="55">
        <f>+'R&amp;B and Debt Svc'!H9</f>
        <v>62160140</v>
      </c>
      <c r="H8" s="24"/>
      <c r="I8" s="55">
        <f>+'R&amp;B and Debt Svc'!J9</f>
        <v>62083762.310000002</v>
      </c>
      <c r="J8" s="24"/>
      <c r="K8" s="56">
        <f t="shared" ref="K8:K15" si="0">G8-I8</f>
        <v>76377.689999997616</v>
      </c>
      <c r="M8" s="26">
        <f t="shared" ref="M8:M14" si="1">K8/G8</f>
        <v>1.2287245492046449E-3</v>
      </c>
      <c r="O8" s="53">
        <f>G8/12*Q$5</f>
        <v>15540035</v>
      </c>
      <c r="Q8" s="27">
        <f>I8/O8</f>
        <v>3.9950851018031814</v>
      </c>
    </row>
    <row r="9" spans="1:17">
      <c r="A9" s="1"/>
      <c r="B9"/>
      <c r="C9" t="s">
        <v>133</v>
      </c>
      <c r="D9"/>
      <c r="E9" s="28">
        <f>+'R&amp;B and Debt Svc'!F10</f>
        <v>106900</v>
      </c>
      <c r="F9" s="28"/>
      <c r="G9" s="28">
        <f>+'R&amp;B and Debt Svc'!H10</f>
        <v>106900</v>
      </c>
      <c r="H9" s="28"/>
      <c r="I9" s="28">
        <f>+'R&amp;B and Debt Svc'!J10</f>
        <v>26031.05999999999</v>
      </c>
      <c r="J9" s="28"/>
      <c r="K9" s="28">
        <f>G9-I9</f>
        <v>80868.94</v>
      </c>
      <c r="M9" s="26">
        <f t="shared" si="1"/>
        <v>0.75649148737137517</v>
      </c>
      <c r="O9" s="28">
        <f>G9/12*Q$5</f>
        <v>26725</v>
      </c>
      <c r="Q9" s="27">
        <f t="shared" ref="Q9:Q14" si="2">I9/O9</f>
        <v>0.97403405051449921</v>
      </c>
    </row>
    <row r="10" spans="1:17">
      <c r="A10" s="1"/>
      <c r="B10"/>
      <c r="C10" t="s">
        <v>18</v>
      </c>
      <c r="D10"/>
      <c r="E10" s="28">
        <f>+'R&amp;B and Debt Svc'!F11</f>
        <v>225000</v>
      </c>
      <c r="F10" s="28"/>
      <c r="G10" s="28">
        <f>+'R&amp;B and Debt Svc'!H11</f>
        <v>225000</v>
      </c>
      <c r="H10" s="28"/>
      <c r="I10" s="28">
        <f>+'R&amp;B and Debt Svc'!J11</f>
        <v>70625.27</v>
      </c>
      <c r="J10" s="28"/>
      <c r="K10" s="28">
        <f t="shared" si="0"/>
        <v>154374.72999999998</v>
      </c>
      <c r="M10" s="26">
        <f t="shared" si="1"/>
        <v>0.68610991111111108</v>
      </c>
      <c r="O10" s="28">
        <f t="shared" ref="O10:O15" si="3">G10/12*Q$5</f>
        <v>56250</v>
      </c>
      <c r="Q10" s="27">
        <f t="shared" si="2"/>
        <v>1.2555603555555557</v>
      </c>
    </row>
    <row r="11" spans="1:17">
      <c r="A11" s="1"/>
      <c r="B11"/>
      <c r="C11" t="s">
        <v>134</v>
      </c>
      <c r="D11"/>
      <c r="E11" s="28">
        <f>+'R&amp;B and Debt Svc'!F12</f>
        <v>6060000</v>
      </c>
      <c r="F11" s="28"/>
      <c r="G11" s="28">
        <f>+'R&amp;B and Debt Svc'!H12</f>
        <v>6060000</v>
      </c>
      <c r="H11" s="28"/>
      <c r="I11" s="28">
        <f>+'R&amp;B and Debt Svc'!J12</f>
        <v>3205190</v>
      </c>
      <c r="J11" s="28"/>
      <c r="K11" s="28">
        <f t="shared" si="0"/>
        <v>2854810</v>
      </c>
      <c r="M11" s="26">
        <f t="shared" si="1"/>
        <v>0.47109075907590758</v>
      </c>
      <c r="O11" s="28">
        <f t="shared" si="3"/>
        <v>1515000</v>
      </c>
      <c r="Q11" s="27">
        <f t="shared" si="2"/>
        <v>2.1156369636963697</v>
      </c>
    </row>
    <row r="12" spans="1:17">
      <c r="A12" s="1"/>
      <c r="B12"/>
      <c r="C12" t="s">
        <v>72</v>
      </c>
      <c r="D12"/>
      <c r="E12" s="28">
        <f>+'R&amp;B and Debt Svc'!F13</f>
        <v>2295000</v>
      </c>
      <c r="F12" s="28"/>
      <c r="G12" s="28">
        <f>+'R&amp;B and Debt Svc'!H13</f>
        <v>2295000</v>
      </c>
      <c r="H12" s="28"/>
      <c r="I12" s="28">
        <f>+'R&amp;B and Debt Svc'!J13</f>
        <v>946607.78</v>
      </c>
      <c r="J12" s="28"/>
      <c r="K12" s="28">
        <f t="shared" si="0"/>
        <v>1348392.22</v>
      </c>
      <c r="M12" s="26">
        <f t="shared" si="1"/>
        <v>0.58753473638344222</v>
      </c>
      <c r="O12" s="28">
        <f t="shared" si="3"/>
        <v>573750</v>
      </c>
      <c r="Q12" s="27">
        <f t="shared" si="2"/>
        <v>1.6498610544662309</v>
      </c>
    </row>
    <row r="13" spans="1:17">
      <c r="A13" s="1"/>
      <c r="B13"/>
      <c r="C13" t="s">
        <v>135</v>
      </c>
      <c r="D13"/>
      <c r="E13" s="28">
        <f>+'R&amp;B and Debt Svc'!F14</f>
        <v>100000</v>
      </c>
      <c r="F13" s="28"/>
      <c r="G13" s="28">
        <f>+'R&amp;B and Debt Svc'!H14</f>
        <v>100000</v>
      </c>
      <c r="H13" s="28"/>
      <c r="I13" s="28">
        <f>+'R&amp;B and Debt Svc'!J14</f>
        <v>0</v>
      </c>
      <c r="J13" s="28"/>
      <c r="K13" s="28">
        <f t="shared" si="0"/>
        <v>100000</v>
      </c>
      <c r="M13" s="26">
        <f t="shared" si="1"/>
        <v>1</v>
      </c>
      <c r="O13" s="28">
        <f t="shared" si="3"/>
        <v>25000</v>
      </c>
      <c r="Q13" s="27">
        <f t="shared" si="2"/>
        <v>0</v>
      </c>
    </row>
    <row r="14" spans="1:17">
      <c r="A14" s="1"/>
      <c r="B14"/>
      <c r="C14" t="s">
        <v>6</v>
      </c>
      <c r="D14"/>
      <c r="E14" s="28">
        <f>+'R&amp;B and Debt Svc'!F15</f>
        <v>1610000</v>
      </c>
      <c r="F14" s="28"/>
      <c r="G14" s="28">
        <f>+'R&amp;B and Debt Svc'!H15</f>
        <v>1610000</v>
      </c>
      <c r="H14" s="28"/>
      <c r="I14" s="28">
        <f>+'R&amp;B and Debt Svc'!J15</f>
        <v>1072260.95</v>
      </c>
      <c r="J14" s="28"/>
      <c r="K14" s="28">
        <f>G14-I14</f>
        <v>537739.05000000005</v>
      </c>
      <c r="M14" s="26">
        <f t="shared" si="1"/>
        <v>0.33399940993788824</v>
      </c>
      <c r="O14" s="28">
        <f t="shared" si="3"/>
        <v>402500</v>
      </c>
      <c r="Q14" s="27">
        <f t="shared" si="2"/>
        <v>2.6640023602484471</v>
      </c>
    </row>
    <row r="15" spans="1:17">
      <c r="A15" s="1"/>
      <c r="B15"/>
      <c r="C15" t="s">
        <v>31</v>
      </c>
      <c r="D15"/>
      <c r="E15" s="28">
        <f>+'R&amp;B and Debt Svc'!F16</f>
        <v>0</v>
      </c>
      <c r="F15" s="28"/>
      <c r="G15" s="28">
        <f>+'R&amp;B and Debt Svc'!H16</f>
        <v>0</v>
      </c>
      <c r="H15" s="28"/>
      <c r="I15" s="28">
        <f>+'R&amp;B and Debt Svc'!J16</f>
        <v>0</v>
      </c>
      <c r="J15" s="28"/>
      <c r="K15" s="28">
        <f t="shared" si="0"/>
        <v>0</v>
      </c>
      <c r="M15" s="45" t="s">
        <v>38</v>
      </c>
      <c r="O15" s="28">
        <f t="shared" si="3"/>
        <v>0</v>
      </c>
      <c r="Q15" s="45" t="s">
        <v>38</v>
      </c>
    </row>
    <row r="16" spans="1:17" s="22" customFormat="1" ht="13.8" thickBot="1">
      <c r="A16" s="1"/>
      <c r="B16" s="1"/>
      <c r="C16" s="1"/>
      <c r="D16" s="1" t="s">
        <v>41</v>
      </c>
      <c r="E16" s="30">
        <f>SUM(E8:E15)</f>
        <v>72557040</v>
      </c>
      <c r="F16" s="31"/>
      <c r="G16" s="30">
        <f>SUM(G8:G15)</f>
        <v>72557040</v>
      </c>
      <c r="H16" s="31"/>
      <c r="I16" s="30">
        <f>SUM(I8:I15)</f>
        <v>67404477.370000005</v>
      </c>
      <c r="J16" s="31"/>
      <c r="K16" s="30">
        <f>SUM(K8:K15)</f>
        <v>5152562.6299999971</v>
      </c>
      <c r="L16" s="31"/>
      <c r="M16" s="32">
        <f>K16/G16</f>
        <v>7.1013958535243407E-2</v>
      </c>
      <c r="N16" s="31"/>
      <c r="O16" s="30">
        <f>SUM(O8:O15)</f>
        <v>18139260</v>
      </c>
      <c r="P16" s="31"/>
      <c r="Q16" s="33">
        <f>I16/O16</f>
        <v>3.7159441658590264</v>
      </c>
    </row>
    <row r="17" spans="1:17" ht="13.8" thickTop="1">
      <c r="A17"/>
      <c r="B17"/>
      <c r="C17"/>
      <c r="D17"/>
    </row>
    <row r="18" spans="1:17" ht="26.4">
      <c r="A18"/>
      <c r="B18"/>
      <c r="C18"/>
      <c r="D18"/>
      <c r="E18" s="20" t="s">
        <v>23</v>
      </c>
      <c r="F18" s="20"/>
      <c r="G18" s="20" t="s">
        <v>24</v>
      </c>
      <c r="H18" s="20"/>
      <c r="I18" s="21" t="s">
        <v>11</v>
      </c>
      <c r="J18" s="21"/>
      <c r="K18" s="21" t="s">
        <v>12</v>
      </c>
      <c r="L18" s="21"/>
      <c r="M18" s="21" t="s">
        <v>13</v>
      </c>
      <c r="N18" s="21"/>
      <c r="O18" s="21" t="str">
        <f>+O6</f>
        <v>Target Analysis                 (3 months)</v>
      </c>
      <c r="P18" s="21"/>
      <c r="Q18" s="21" t="s">
        <v>42</v>
      </c>
    </row>
    <row r="19" spans="1:17">
      <c r="A19" s="1" t="s">
        <v>10</v>
      </c>
      <c r="B19"/>
      <c r="C19"/>
      <c r="D19"/>
    </row>
    <row r="20" spans="1:17">
      <c r="A20"/>
      <c r="B20" s="1" t="s">
        <v>136</v>
      </c>
      <c r="C20"/>
      <c r="D20"/>
    </row>
    <row r="21" spans="1:17">
      <c r="A21"/>
      <c r="B21"/>
      <c r="C21" t="s">
        <v>19</v>
      </c>
      <c r="D21"/>
      <c r="E21" s="57">
        <f>+'R&amp;B and Debt Svc'!F25</f>
        <v>12591566.809999999</v>
      </c>
      <c r="F21" s="24"/>
      <c r="G21" s="57">
        <f>+'R&amp;B and Debt Svc'!H25</f>
        <v>12591566.809999999</v>
      </c>
      <c r="H21" s="24"/>
      <c r="I21" s="57">
        <f>+'R&amp;B and Debt Svc'!J25</f>
        <v>5067084.17</v>
      </c>
      <c r="J21" s="24"/>
      <c r="K21" s="53">
        <f>G21-I21</f>
        <v>7524482.6399999987</v>
      </c>
      <c r="M21" s="26">
        <f t="shared" ref="M21:M24" si="4">K21/G21</f>
        <v>0.59758112342494096</v>
      </c>
      <c r="O21" s="53">
        <f t="shared" ref="O21:O23" si="5">G21/12*Q$5</f>
        <v>3147891.7024999997</v>
      </c>
      <c r="Q21" s="27">
        <f t="shared" ref="Q21:Q23" si="6">I21/O21</f>
        <v>1.6096755063002364</v>
      </c>
    </row>
    <row r="22" spans="1:17">
      <c r="A22"/>
      <c r="B22"/>
      <c r="C22" t="s">
        <v>137</v>
      </c>
      <c r="D22"/>
      <c r="E22" s="28">
        <f>+'R&amp;B and Debt Svc'!F26</f>
        <v>5249938.3500000006</v>
      </c>
      <c r="F22" s="23"/>
      <c r="G22" s="28">
        <f>+'R&amp;B and Debt Svc'!H26</f>
        <v>5260443.53</v>
      </c>
      <c r="H22" s="23"/>
      <c r="I22" s="28">
        <f>+'R&amp;B and Debt Svc'!J26</f>
        <v>2539995.9300000002</v>
      </c>
      <c r="J22" s="23"/>
      <c r="K22" s="28">
        <f t="shared" ref="K22:K23" si="7">G22-I22</f>
        <v>2720447.6</v>
      </c>
      <c r="M22" s="26">
        <f t="shared" si="4"/>
        <v>0.51715175431224525</v>
      </c>
      <c r="O22" s="28">
        <f t="shared" si="5"/>
        <v>1315110.8825000001</v>
      </c>
      <c r="Q22" s="27">
        <f t="shared" si="6"/>
        <v>1.9313929827510192</v>
      </c>
    </row>
    <row r="23" spans="1:17">
      <c r="A23"/>
      <c r="B23"/>
      <c r="C23" t="s">
        <v>145</v>
      </c>
      <c r="D23"/>
      <c r="E23" s="28">
        <f>+'R&amp;B and Debt Svc'!F27</f>
        <v>28811789.57</v>
      </c>
      <c r="F23" s="23"/>
      <c r="G23" s="28">
        <f>+'R&amp;B and Debt Svc'!H27</f>
        <v>27822102.77</v>
      </c>
      <c r="H23" s="23"/>
      <c r="I23" s="28">
        <f>+'R&amp;B and Debt Svc'!J27</f>
        <v>14407162.429999998</v>
      </c>
      <c r="J23" s="23"/>
      <c r="K23" s="28">
        <f t="shared" si="7"/>
        <v>13414940.340000002</v>
      </c>
      <c r="M23" s="26">
        <f t="shared" si="4"/>
        <v>0.48216845616949755</v>
      </c>
      <c r="O23" s="28">
        <f t="shared" si="5"/>
        <v>6955525.692499999</v>
      </c>
      <c r="Q23" s="27">
        <f t="shared" si="6"/>
        <v>2.0713261753220098</v>
      </c>
    </row>
    <row r="24" spans="1:17" s="22" customFormat="1">
      <c r="A24" s="1"/>
      <c r="B24" s="1"/>
      <c r="C24" s="1"/>
      <c r="D24" s="1" t="s">
        <v>138</v>
      </c>
      <c r="E24" s="46">
        <f>SUM(E21:E23)</f>
        <v>46653294.730000004</v>
      </c>
      <c r="F24" s="25"/>
      <c r="G24" s="46">
        <f>SUM(G21:G23)</f>
        <v>45674113.109999999</v>
      </c>
      <c r="H24" s="31"/>
      <c r="I24" s="46">
        <f>SUM(I21:I23)</f>
        <v>22014242.529999997</v>
      </c>
      <c r="J24" s="31"/>
      <c r="K24" s="46">
        <f>SUM(K21:K23)</f>
        <v>23659870.579999998</v>
      </c>
      <c r="M24" s="47">
        <f t="shared" si="4"/>
        <v>0.51801488784288729</v>
      </c>
      <c r="O24" s="46">
        <f>SUM(O21:O23)</f>
        <v>11418528.2775</v>
      </c>
      <c r="Q24" s="48">
        <f>I24/O24</f>
        <v>1.9279404486284504</v>
      </c>
    </row>
    <row r="25" spans="1:17">
      <c r="A25"/>
      <c r="B25"/>
      <c r="C25"/>
      <c r="D25"/>
      <c r="E25" s="23"/>
      <c r="F25" s="23"/>
      <c r="G25" s="23"/>
      <c r="H25" s="23"/>
      <c r="I25" s="23"/>
      <c r="J25" s="23"/>
      <c r="K25" s="23"/>
      <c r="M25" s="26"/>
      <c r="O25" s="23"/>
      <c r="Q25" s="26"/>
    </row>
    <row r="26" spans="1:17" s="22" customFormat="1">
      <c r="A26" s="1"/>
      <c r="B26" s="1" t="s">
        <v>139</v>
      </c>
      <c r="C26" s="1"/>
      <c r="D26" s="1"/>
      <c r="E26" s="49">
        <f>+'R&amp;B and Debt Svc'!F30</f>
        <v>1872926.2799999998</v>
      </c>
      <c r="F26" s="25"/>
      <c r="G26" s="49">
        <f>+'R&amp;B and Debt Svc'!H30</f>
        <v>1832107.9</v>
      </c>
      <c r="H26" s="25"/>
      <c r="I26" s="49">
        <f>+'R&amp;B and Debt Svc'!J30</f>
        <v>1625996.66</v>
      </c>
      <c r="J26" s="25"/>
      <c r="K26" s="49">
        <f>G26-I26</f>
        <v>206111.24</v>
      </c>
      <c r="M26" s="50">
        <f>K26/G26</f>
        <v>0.11249950944483128</v>
      </c>
      <c r="O26" s="49">
        <f>G26/12*Q$5</f>
        <v>458026.97499999998</v>
      </c>
      <c r="Q26" s="51">
        <f>I26/O26</f>
        <v>3.5500019622206751</v>
      </c>
    </row>
    <row r="27" spans="1:17">
      <c r="A27"/>
      <c r="B27"/>
      <c r="C27"/>
      <c r="D27"/>
      <c r="E27" s="23"/>
      <c r="F27" s="23"/>
      <c r="G27" s="23"/>
      <c r="H27" s="23"/>
      <c r="I27" s="23"/>
      <c r="J27" s="23"/>
      <c r="K27" s="23"/>
      <c r="M27" s="26"/>
      <c r="O27" s="23"/>
      <c r="Q27" s="26"/>
    </row>
    <row r="28" spans="1:17" ht="13.95" customHeight="1">
      <c r="A28" s="1" t="s">
        <v>140</v>
      </c>
      <c r="B28"/>
      <c r="C28"/>
      <c r="D28"/>
      <c r="E28" s="23"/>
      <c r="F28" s="23"/>
      <c r="G28" s="23"/>
      <c r="H28" s="23"/>
      <c r="I28" s="23"/>
      <c r="J28" s="23"/>
      <c r="K28" s="23"/>
      <c r="M28" s="26"/>
      <c r="O28" s="23"/>
      <c r="Q28" s="26"/>
    </row>
    <row r="29" spans="1:17" s="22" customFormat="1">
      <c r="A29" s="1"/>
      <c r="B29" s="1" t="s">
        <v>141</v>
      </c>
      <c r="C29" s="1"/>
      <c r="D29" s="1"/>
      <c r="E29" s="49">
        <f>+'R&amp;B and Debt Svc'!F33</f>
        <v>29997000</v>
      </c>
      <c r="F29" s="25"/>
      <c r="G29" s="49">
        <f>+'R&amp;B and Debt Svc'!H33</f>
        <v>31017000</v>
      </c>
      <c r="H29" s="25"/>
      <c r="I29" s="49">
        <f>+'R&amp;B and Debt Svc'!J33</f>
        <v>10428267.779999999</v>
      </c>
      <c r="J29" s="25"/>
      <c r="K29" s="49">
        <f>G29-I29</f>
        <v>20588732.219999999</v>
      </c>
      <c r="M29" s="50">
        <f>K29/G29</f>
        <v>0.66378863913337838</v>
      </c>
      <c r="O29" s="49">
        <f>G29/12*Q$5</f>
        <v>7754250</v>
      </c>
      <c r="Q29" s="51">
        <f>M29-(1-(8/12))</f>
        <v>0.33045530580004501</v>
      </c>
    </row>
    <row r="30" spans="1:17">
      <c r="A30"/>
      <c r="B30"/>
      <c r="C30"/>
      <c r="D30"/>
      <c r="M30" s="26"/>
      <c r="Q30" s="26"/>
    </row>
    <row r="31" spans="1:17" s="22" customFormat="1" ht="13.8" thickBot="1">
      <c r="A31" s="1"/>
      <c r="B31" s="1"/>
      <c r="C31" s="1"/>
      <c r="D31" s="1" t="s">
        <v>81</v>
      </c>
      <c r="E31" s="30">
        <f>E24+E26+E29</f>
        <v>78523221.010000005</v>
      </c>
      <c r="F31" s="31"/>
      <c r="G31" s="30">
        <f>G24+G26+G29</f>
        <v>78523221.00999999</v>
      </c>
      <c r="H31" s="31"/>
      <c r="I31" s="30">
        <f>I24+I26+I29</f>
        <v>34068506.969999999</v>
      </c>
      <c r="J31" s="31"/>
      <c r="K31" s="30">
        <f>K24+K26+K29</f>
        <v>44454714.039999992</v>
      </c>
      <c r="M31" s="32">
        <f>K31/G31</f>
        <v>0.56613462193990549</v>
      </c>
      <c r="O31" s="30">
        <f>O24+O26+O29</f>
        <v>19630805.252499998</v>
      </c>
      <c r="Q31" s="33">
        <f>I31/O31</f>
        <v>1.7354615122403778</v>
      </c>
    </row>
    <row r="32" spans="1:17" s="22" customFormat="1" ht="13.8" thickTop="1">
      <c r="E32" s="42"/>
      <c r="F32" s="31"/>
      <c r="G32" s="42"/>
      <c r="H32" s="31"/>
      <c r="I32" s="42"/>
      <c r="J32" s="31"/>
      <c r="K32" s="42"/>
      <c r="M32" s="43"/>
      <c r="O32" s="42"/>
      <c r="Q32" s="43"/>
    </row>
    <row r="33" spans="1:17" s="22" customFormat="1">
      <c r="E33" s="42"/>
      <c r="F33" s="31"/>
      <c r="G33" s="42"/>
      <c r="H33" s="31"/>
      <c r="I33" s="42"/>
      <c r="J33" s="31"/>
      <c r="K33" s="42"/>
      <c r="M33" s="43"/>
      <c r="O33" s="42"/>
      <c r="Q33" s="43"/>
    </row>
    <row r="35" spans="1:17" ht="4.95" customHeigh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</row>
    <row r="38" spans="1:17" s="16" customFormat="1" ht="17.399999999999999">
      <c r="A38" s="145" t="s">
        <v>22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</row>
    <row r="39" spans="1:17" ht="15.6">
      <c r="A39" s="148" t="s">
        <v>28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</row>
    <row r="40" spans="1:17" ht="13.95" customHeight="1">
      <c r="A40" s="146" t="e">
        <f>+A3</f>
        <v>#VALUE!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</row>
    <row r="41" spans="1:17" ht="10.95" customHeight="1">
      <c r="A41" s="147" t="s">
        <v>39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</row>
    <row r="42" spans="1:17" ht="10.9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 t="s">
        <v>44</v>
      </c>
      <c r="P42" s="18"/>
      <c r="Q42" s="18">
        <f>+Q5</f>
        <v>3</v>
      </c>
    </row>
    <row r="43" spans="1:17" ht="26.4">
      <c r="E43" s="20" t="s">
        <v>23</v>
      </c>
      <c r="F43" s="20"/>
      <c r="G43" s="20" t="s">
        <v>24</v>
      </c>
      <c r="H43" s="20"/>
      <c r="I43" s="20" t="s">
        <v>0</v>
      </c>
      <c r="J43" s="20"/>
      <c r="K43" s="21" t="s">
        <v>1</v>
      </c>
      <c r="L43" s="21"/>
      <c r="M43" s="21" t="s">
        <v>2</v>
      </c>
      <c r="N43" s="21"/>
      <c r="O43" s="21" t="str">
        <f>+O18</f>
        <v>Target Analysis                 (3 months)</v>
      </c>
      <c r="P43" s="21"/>
      <c r="Q43" s="21" t="s">
        <v>42</v>
      </c>
    </row>
    <row r="44" spans="1:17">
      <c r="A44" s="1" t="s">
        <v>34</v>
      </c>
      <c r="B44"/>
      <c r="C44"/>
      <c r="D44"/>
    </row>
    <row r="45" spans="1:17">
      <c r="A45" s="1"/>
      <c r="B45"/>
      <c r="C45" t="s">
        <v>46</v>
      </c>
      <c r="D45"/>
      <c r="E45" s="55">
        <f>'R&amp;B and Debt Svc'!F46</f>
        <v>200832789</v>
      </c>
      <c r="F45" s="24"/>
      <c r="G45" s="55">
        <f>'R&amp;B and Debt Svc'!H46</f>
        <v>200832789</v>
      </c>
      <c r="H45" s="24"/>
      <c r="I45" s="55">
        <f>'R&amp;B and Debt Svc'!J46</f>
        <v>200014377.97999999</v>
      </c>
      <c r="J45" s="24"/>
      <c r="K45" s="56">
        <f>G45-I45</f>
        <v>818411.02000001073</v>
      </c>
      <c r="M45" s="26">
        <f>K45/G45</f>
        <v>4.0750866632639892E-3</v>
      </c>
      <c r="O45" s="53">
        <f>G45/12*Q$42</f>
        <v>50208197.25</v>
      </c>
      <c r="Q45" s="27">
        <f>I45/O45</f>
        <v>3.9836996533469442</v>
      </c>
    </row>
    <row r="46" spans="1:17">
      <c r="A46" s="1"/>
      <c r="B46"/>
      <c r="C46" t="s">
        <v>133</v>
      </c>
      <c r="D46"/>
      <c r="E46" s="55">
        <f>'R&amp;B and Debt Svc'!F47</f>
        <v>100000</v>
      </c>
      <c r="F46" s="23"/>
      <c r="G46" s="55">
        <f>'R&amp;B and Debt Svc'!H47</f>
        <v>100000</v>
      </c>
      <c r="H46" s="23"/>
      <c r="I46" s="55">
        <f>'R&amp;B and Debt Svc'!J47</f>
        <v>-341420.84</v>
      </c>
      <c r="J46" s="23"/>
      <c r="K46" s="28">
        <f>G46-I46</f>
        <v>441420.84</v>
      </c>
      <c r="M46" s="26">
        <f>K46/G46</f>
        <v>4.4142084000000006</v>
      </c>
      <c r="O46" s="28">
        <f>G46/12*Q$42</f>
        <v>25000</v>
      </c>
      <c r="Q46" s="27">
        <f>I46/O46</f>
        <v>-13.656833600000001</v>
      </c>
    </row>
    <row r="47" spans="1:17">
      <c r="A47" s="1"/>
      <c r="B47"/>
      <c r="C47" t="s">
        <v>78</v>
      </c>
      <c r="D47"/>
      <c r="E47" s="55">
        <f>'R&amp;B and Debt Svc'!F48</f>
        <v>1340130</v>
      </c>
      <c r="F47" s="23"/>
      <c r="G47" s="55">
        <f>'R&amp;B and Debt Svc'!H48</f>
        <v>1340130</v>
      </c>
      <c r="H47" s="23"/>
      <c r="I47" s="55">
        <f>'R&amp;B and Debt Svc'!J48</f>
        <v>923807.49</v>
      </c>
      <c r="J47" s="23"/>
      <c r="K47" s="28">
        <f>G47-I47</f>
        <v>416322.51</v>
      </c>
      <c r="M47" s="26">
        <f>K47/G47</f>
        <v>0.31065830180654114</v>
      </c>
      <c r="O47" s="28">
        <f>G47/12*Q$42</f>
        <v>335032.5</v>
      </c>
      <c r="Q47" s="27">
        <f>I47/O47</f>
        <v>2.7573667927738352</v>
      </c>
    </row>
    <row r="48" spans="1:17">
      <c r="A48" s="1"/>
      <c r="B48"/>
      <c r="C48" t="s">
        <v>146</v>
      </c>
      <c r="D48"/>
      <c r="E48" s="55">
        <f>'R&amp;B and Debt Svc'!F49</f>
        <v>113253</v>
      </c>
      <c r="F48" s="23"/>
      <c r="G48" s="55">
        <f>'R&amp;B and Debt Svc'!H49</f>
        <v>113253</v>
      </c>
      <c r="H48" s="23"/>
      <c r="I48" s="55">
        <f>'R&amp;B and Debt Svc'!J49</f>
        <v>32882.400000000001</v>
      </c>
      <c r="J48" s="23"/>
      <c r="K48" s="28">
        <f t="shared" ref="K48:K50" si="8">G48-I48</f>
        <v>80370.600000000006</v>
      </c>
      <c r="M48" s="26">
        <f t="shared" ref="M48:M50" si="9">K48/G48</f>
        <v>0.70965537336759299</v>
      </c>
      <c r="O48" s="28">
        <f t="shared" ref="O48:O50" si="10">G48/12*Q$42</f>
        <v>28313.25</v>
      </c>
      <c r="Q48" s="27">
        <f t="shared" ref="Q48:Q50" si="11">I48/O48</f>
        <v>1.1613785065296285</v>
      </c>
    </row>
    <row r="49" spans="1:17">
      <c r="A49" s="1"/>
      <c r="B49"/>
      <c r="C49" t="s">
        <v>147</v>
      </c>
      <c r="D49"/>
      <c r="E49" s="55">
        <f>'R&amp;B and Debt Svc'!F50</f>
        <v>0</v>
      </c>
      <c r="F49" s="23"/>
      <c r="G49" s="55">
        <f>'R&amp;B and Debt Svc'!H50</f>
        <v>0</v>
      </c>
      <c r="H49" s="23"/>
      <c r="I49" s="55">
        <f>'R&amp;B and Debt Svc'!J50</f>
        <v>0</v>
      </c>
      <c r="J49" s="23"/>
      <c r="K49" s="28">
        <f t="shared" si="8"/>
        <v>0</v>
      </c>
      <c r="M49" s="26" t="e">
        <f t="shared" si="9"/>
        <v>#DIV/0!</v>
      </c>
      <c r="O49" s="28">
        <f t="shared" si="10"/>
        <v>0</v>
      </c>
      <c r="Q49" s="27" t="e">
        <f t="shared" si="11"/>
        <v>#DIV/0!</v>
      </c>
    </row>
    <row r="50" spans="1:17">
      <c r="A50" s="1"/>
      <c r="B50"/>
      <c r="C50" t="s">
        <v>144</v>
      </c>
      <c r="D50"/>
      <c r="E50" s="55">
        <f>'R&amp;B and Debt Svc'!F52</f>
        <v>20318367</v>
      </c>
      <c r="F50" s="23"/>
      <c r="G50" s="55">
        <f>'R&amp;B and Debt Svc'!H52</f>
        <v>20318367</v>
      </c>
      <c r="H50" s="23"/>
      <c r="I50" s="55">
        <f>'R&amp;B and Debt Svc'!J52</f>
        <v>0</v>
      </c>
      <c r="J50" s="23"/>
      <c r="K50" s="28">
        <f t="shared" si="8"/>
        <v>20318367</v>
      </c>
      <c r="M50" s="26">
        <f t="shared" si="9"/>
        <v>1</v>
      </c>
      <c r="O50" s="28">
        <f t="shared" si="10"/>
        <v>5079591.75</v>
      </c>
      <c r="Q50" s="27">
        <f t="shared" si="11"/>
        <v>0</v>
      </c>
    </row>
    <row r="51" spans="1:17" s="22" customFormat="1" ht="13.8" thickBot="1">
      <c r="A51" s="1"/>
      <c r="B51" s="1"/>
      <c r="C51" s="1"/>
      <c r="D51" s="1" t="s">
        <v>41</v>
      </c>
      <c r="E51" s="30">
        <f>SUM(E45:E50)</f>
        <v>222704539</v>
      </c>
      <c r="F51" s="31"/>
      <c r="G51" s="30">
        <f>SUM(G45:G50)</f>
        <v>222704539</v>
      </c>
      <c r="H51" s="31"/>
      <c r="I51" s="30">
        <f>SUM(I45:I50)</f>
        <v>200629647.03</v>
      </c>
      <c r="J51" s="31"/>
      <c r="K51" s="30">
        <f>SUM(K45:K50)</f>
        <v>22074891.97000001</v>
      </c>
      <c r="L51" s="31"/>
      <c r="M51" s="32">
        <f>K51/G51</f>
        <v>9.9121877215084558E-2</v>
      </c>
      <c r="N51" s="31"/>
      <c r="O51" s="30">
        <f>SUM(O45:O50)</f>
        <v>55676134.75</v>
      </c>
      <c r="P51" s="31"/>
      <c r="Q51" s="33">
        <f>I51/O51</f>
        <v>3.6035124911396621</v>
      </c>
    </row>
    <row r="52" spans="1:17" ht="13.8" thickTop="1">
      <c r="A52"/>
      <c r="B52"/>
      <c r="C52"/>
      <c r="D52"/>
    </row>
    <row r="53" spans="1:17" ht="26.4">
      <c r="A53"/>
      <c r="B53"/>
      <c r="C53"/>
      <c r="D53"/>
      <c r="E53" s="20" t="s">
        <v>23</v>
      </c>
      <c r="F53" s="20"/>
      <c r="G53" s="20" t="s">
        <v>24</v>
      </c>
      <c r="H53" s="20"/>
      <c r="I53" s="21" t="s">
        <v>11</v>
      </c>
      <c r="J53" s="21"/>
      <c r="K53" s="21" t="s">
        <v>12</v>
      </c>
      <c r="L53" s="21"/>
      <c r="M53" s="21" t="s">
        <v>13</v>
      </c>
      <c r="N53" s="21"/>
      <c r="O53" s="21" t="str">
        <f>+O43</f>
        <v>Target Analysis                 (3 months)</v>
      </c>
      <c r="P53" s="21"/>
      <c r="Q53" s="21" t="s">
        <v>42</v>
      </c>
    </row>
    <row r="54" spans="1:17">
      <c r="A54" s="1" t="s">
        <v>10</v>
      </c>
      <c r="B54"/>
      <c r="C54"/>
      <c r="D54"/>
    </row>
    <row r="55" spans="1:17">
      <c r="A55"/>
      <c r="B55"/>
      <c r="C55" t="s">
        <v>21</v>
      </c>
      <c r="D55"/>
      <c r="E55" s="57">
        <v>51985000</v>
      </c>
      <c r="F55" s="23"/>
      <c r="G55" s="57">
        <v>51985000</v>
      </c>
      <c r="H55" s="23"/>
      <c r="I55" s="57">
        <v>51985000</v>
      </c>
      <c r="J55" s="23"/>
      <c r="K55" s="53">
        <f>G55-I55</f>
        <v>0</v>
      </c>
      <c r="M55" s="26">
        <f>K55/G55</f>
        <v>0</v>
      </c>
      <c r="O55" s="53">
        <f>G55/12*Q$42</f>
        <v>12996250</v>
      </c>
      <c r="Q55" s="27">
        <f t="shared" ref="Q55:Q60" si="12">I55/O55</f>
        <v>4</v>
      </c>
    </row>
    <row r="56" spans="1:17">
      <c r="A56"/>
      <c r="B56"/>
      <c r="C56" t="s">
        <v>17</v>
      </c>
      <c r="D56"/>
      <c r="E56" s="28">
        <v>33766745</v>
      </c>
      <c r="F56" s="23"/>
      <c r="G56" s="28">
        <v>33766745</v>
      </c>
      <c r="H56" s="23"/>
      <c r="I56" s="28">
        <v>33766745</v>
      </c>
      <c r="J56" s="23"/>
      <c r="K56" s="28">
        <f>G56-I56</f>
        <v>0</v>
      </c>
      <c r="M56" s="26">
        <f t="shared" ref="M56:M59" si="13">K56/G56</f>
        <v>0</v>
      </c>
      <c r="O56" s="28">
        <f>G56/12*Q$42</f>
        <v>8441686.25</v>
      </c>
      <c r="Q56" s="27">
        <f t="shared" si="12"/>
        <v>4</v>
      </c>
    </row>
    <row r="57" spans="1:17">
      <c r="A57"/>
      <c r="B57"/>
      <c r="C57" t="s">
        <v>6</v>
      </c>
      <c r="D57"/>
      <c r="E57" s="28">
        <f>'R&amp;B and Debt Svc'!F63</f>
        <v>1932321</v>
      </c>
      <c r="F57" s="23"/>
      <c r="G57" s="28">
        <f>'R&amp;B and Debt Svc'!H63</f>
        <v>1932321</v>
      </c>
      <c r="H57" s="23"/>
      <c r="I57" s="28">
        <f>'R&amp;B and Debt Svc'!J63</f>
        <v>6500</v>
      </c>
      <c r="J57" s="23"/>
      <c r="K57" s="28">
        <f t="shared" ref="K57:K58" si="14">G57-I57</f>
        <v>1925821</v>
      </c>
      <c r="M57" s="26">
        <f t="shared" si="13"/>
        <v>0.99663616966332202</v>
      </c>
      <c r="O57" s="28">
        <f>G57/12*Q$42</f>
        <v>483080.25</v>
      </c>
      <c r="Q57" s="27">
        <f t="shared" si="12"/>
        <v>1.3455321346712063E-2</v>
      </c>
    </row>
    <row r="58" spans="1:17">
      <c r="A58"/>
      <c r="B58"/>
      <c r="C58" t="s">
        <v>153</v>
      </c>
      <c r="D58"/>
      <c r="E58" s="28">
        <f>'R&amp;B and Debt Svc'!F64</f>
        <v>0</v>
      </c>
      <c r="F58" s="23"/>
      <c r="G58" s="28">
        <f>'R&amp;B and Debt Svc'!H64</f>
        <v>0</v>
      </c>
      <c r="H58" s="23"/>
      <c r="I58" s="28">
        <f>'R&amp;B and Debt Svc'!J64</f>
        <v>0</v>
      </c>
      <c r="J58" s="23"/>
      <c r="K58" s="28">
        <f t="shared" si="14"/>
        <v>0</v>
      </c>
      <c r="M58" s="26" t="e">
        <f t="shared" si="13"/>
        <v>#DIV/0!</v>
      </c>
      <c r="O58" s="28">
        <f>G58/12*Q$42</f>
        <v>0</v>
      </c>
      <c r="Q58" s="27" t="e">
        <f t="shared" si="12"/>
        <v>#DIV/0!</v>
      </c>
    </row>
    <row r="59" spans="1:17">
      <c r="A59"/>
      <c r="B59"/>
      <c r="C59" s="14" t="s">
        <v>152</v>
      </c>
      <c r="D59"/>
      <c r="E59" s="28">
        <f>'R&amp;B and Debt Svc'!F65</f>
        <v>20000000</v>
      </c>
      <c r="F59" s="23"/>
      <c r="G59" s="28">
        <f>'R&amp;B and Debt Svc'!H65</f>
        <v>20000000</v>
      </c>
      <c r="H59" s="23"/>
      <c r="I59" s="28">
        <f>'R&amp;B and Debt Svc'!J65</f>
        <v>0</v>
      </c>
      <c r="J59" s="23"/>
      <c r="K59" s="28">
        <f>G59-I59</f>
        <v>20000000</v>
      </c>
      <c r="M59" s="26">
        <f t="shared" si="13"/>
        <v>1</v>
      </c>
      <c r="O59" s="28">
        <f>G59/12*Q$42</f>
        <v>5000000</v>
      </c>
      <c r="Q59" s="27">
        <f t="shared" si="12"/>
        <v>0</v>
      </c>
    </row>
    <row r="60" spans="1:17" s="22" customFormat="1" ht="13.8" thickBot="1">
      <c r="A60" s="1"/>
      <c r="B60" s="1"/>
      <c r="C60" s="1"/>
      <c r="D60" s="1" t="s">
        <v>81</v>
      </c>
      <c r="E60" s="30">
        <f>SUM(E55:E59)</f>
        <v>107684066</v>
      </c>
      <c r="F60" s="31"/>
      <c r="G60" s="30">
        <f>SUM(G55:G59)</f>
        <v>107684066</v>
      </c>
      <c r="H60" s="31"/>
      <c r="I60" s="30">
        <f>SUM(I55:I59)</f>
        <v>85758245</v>
      </c>
      <c r="J60" s="31"/>
      <c r="K60" s="30">
        <f>SUM(K55:K59)</f>
        <v>21925821</v>
      </c>
      <c r="M60" s="32">
        <f>K60/G60</f>
        <v>0.20361249174970789</v>
      </c>
      <c r="O60" s="30">
        <f>SUM(O55:O59)</f>
        <v>26921016.5</v>
      </c>
      <c r="Q60" s="33">
        <f t="shared" si="12"/>
        <v>3.1855500330011686</v>
      </c>
    </row>
    <row r="61" spans="1:17" ht="13.8" thickTop="1"/>
  </sheetData>
  <mergeCells count="8">
    <mergeCell ref="A40:Q40"/>
    <mergeCell ref="A41:Q41"/>
    <mergeCell ref="A1:Q1"/>
    <mergeCell ref="A2:Q2"/>
    <mergeCell ref="A3:Q3"/>
    <mergeCell ref="A4:Q4"/>
    <mergeCell ref="A38:Q38"/>
    <mergeCell ref="A39:Q39"/>
  </mergeCells>
  <phoneticPr fontId="14" type="noConversion"/>
  <pageMargins left="0.5" right="0.44" top="0.64" bottom="0.75" header="0.5" footer="0.5"/>
  <pageSetup scale="69" orientation="portrait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W79"/>
  <sheetViews>
    <sheetView zoomScale="130" zoomScaleNormal="130" workbookViewId="0">
      <selection activeCell="A2" sqref="A2"/>
    </sheetView>
  </sheetViews>
  <sheetFormatPr defaultColWidth="9.109375" defaultRowHeight="13.2"/>
  <cols>
    <col min="1" max="1" width="2.5546875" style="14" customWidth="1"/>
    <col min="2" max="2" width="1.6640625" style="14" customWidth="1"/>
    <col min="3" max="3" width="1" style="14" customWidth="1"/>
    <col min="4" max="4" width="1.6640625" style="14" customWidth="1"/>
    <col min="5" max="5" width="29.109375" style="14" bestFit="1" customWidth="1"/>
    <col min="6" max="6" width="18.109375" style="14" bestFit="1" customWidth="1"/>
    <col min="7" max="7" width="0.88671875" style="14" customWidth="1"/>
    <col min="8" max="8" width="18.109375" style="14" bestFit="1" customWidth="1"/>
    <col min="9" max="9" width="0.6640625" style="14" customWidth="1"/>
    <col min="10" max="10" width="18.109375" style="14" bestFit="1" customWidth="1"/>
    <col min="11" max="11" width="1" style="14" customWidth="1"/>
    <col min="12" max="12" width="16.5546875" style="14" bestFit="1" customWidth="1"/>
    <col min="13" max="13" width="1" style="14" customWidth="1"/>
    <col min="14" max="14" width="10.88671875" style="14" customWidth="1"/>
    <col min="15" max="15" width="4.109375" style="14" customWidth="1"/>
    <col min="16" max="19" width="9.109375" style="14" customWidth="1"/>
    <col min="20" max="20" width="8.6640625" style="14" customWidth="1"/>
    <col min="21" max="16384" width="9.109375" style="14"/>
  </cols>
  <sheetData>
    <row r="1" spans="1:23">
      <c r="A1" s="14" t="str" cm="1">
        <f t="array" aca="1" ref="A1" ca="1">CELL("filename")</f>
        <v>C:\Users\nzinsmeyer\AppData\Local\Microsoft\Windows\INetCache\Content.Outlook\NZ8NN1ME\[Mar 26 FINANCIAL REPORT unaudited_UPDATED.xlsx]R&amp;B and Debt Svc</v>
      </c>
    </row>
    <row r="2" spans="1:23">
      <c r="A2" t="s">
        <v>163</v>
      </c>
    </row>
    <row r="4" spans="1:23">
      <c r="B4" s="140" t="s">
        <v>22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P4" s="85"/>
      <c r="Q4" s="85"/>
      <c r="R4" s="85"/>
      <c r="S4" s="85"/>
      <c r="T4" s="85"/>
    </row>
    <row r="5" spans="1:23">
      <c r="B5" s="140" t="s">
        <v>30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P5" s="85"/>
      <c r="Q5" s="85"/>
      <c r="R5" s="85"/>
      <c r="S5" s="85"/>
      <c r="T5" s="85"/>
    </row>
    <row r="6" spans="1:23" ht="13.95" customHeight="1">
      <c r="B6" s="140" t="str">
        <f>+'GF Summary'!B5:N5</f>
        <v xml:space="preserve"> AS OF March 31, 2026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P6" s="85"/>
      <c r="Q6" s="85"/>
      <c r="R6" s="85"/>
      <c r="S6" s="85"/>
      <c r="T6" s="85"/>
    </row>
    <row r="7" spans="1:23" ht="10.95" customHeight="1">
      <c r="B7" s="140" t="s">
        <v>39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</row>
    <row r="8" spans="1:23" ht="39.6">
      <c r="F8" s="9" t="s">
        <v>23</v>
      </c>
      <c r="G8" s="9"/>
      <c r="H8" s="9" t="s">
        <v>24</v>
      </c>
      <c r="I8" s="9"/>
      <c r="J8" s="9" t="s">
        <v>0</v>
      </c>
      <c r="K8" s="9"/>
      <c r="L8" s="10" t="s">
        <v>1</v>
      </c>
      <c r="M8" s="10"/>
      <c r="N8" s="10" t="s">
        <v>2</v>
      </c>
    </row>
    <row r="9" spans="1:23">
      <c r="B9" s="1"/>
      <c r="C9" s="1" t="s">
        <v>3</v>
      </c>
    </row>
    <row r="10" spans="1:23">
      <c r="B10" s="1"/>
      <c r="D10" s="14" t="s">
        <v>46</v>
      </c>
      <c r="F10" s="57">
        <f>+'GF REPORT REV-SUP'!B12</f>
        <v>304252789</v>
      </c>
      <c r="G10" s="57"/>
      <c r="H10" s="116">
        <f>+'GF REPORT REV-SUP'!C12</f>
        <v>304252789</v>
      </c>
      <c r="I10" s="57"/>
      <c r="J10" s="118">
        <f>+'GF REPORT REV-SUP'!D12</f>
        <v>303013508.63</v>
      </c>
      <c r="L10" s="57">
        <f>H10-J10</f>
        <v>1239280.3700000048</v>
      </c>
      <c r="N10" s="81">
        <f>IF(H10,L10/H10,0)</f>
        <v>4.0731931302033352E-3</v>
      </c>
    </row>
    <row r="11" spans="1:23">
      <c r="B11" s="1"/>
      <c r="D11" s="14" t="s">
        <v>26</v>
      </c>
      <c r="F11" s="105">
        <f>+'GF REPORT REV-SUP'!B13</f>
        <v>935000</v>
      </c>
      <c r="G11" s="105"/>
      <c r="H11" s="117">
        <f>+'GF REPORT REV-SUP'!C13</f>
        <v>935000</v>
      </c>
      <c r="I11" s="105"/>
      <c r="J11" s="117">
        <f>+'GF REPORT REV-SUP'!D13</f>
        <v>285602.52</v>
      </c>
      <c r="K11" s="106"/>
      <c r="L11" s="106">
        <f>H11-J11</f>
        <v>649397.48</v>
      </c>
      <c r="N11" s="81">
        <f>IF(H11,L11/H11,0)</f>
        <v>0.6945427593582888</v>
      </c>
    </row>
    <row r="12" spans="1:23">
      <c r="D12" s="14" t="s">
        <v>47</v>
      </c>
      <c r="F12" s="105">
        <f>+'GF REPORT REV-SUP'!B14</f>
        <v>2888000</v>
      </c>
      <c r="G12" s="105"/>
      <c r="H12" s="117">
        <f>+'GF REPORT REV-SUP'!C14</f>
        <v>2888000</v>
      </c>
      <c r="I12" s="105"/>
      <c r="J12" s="117">
        <f>+'GF REPORT REV-SUP'!D14</f>
        <v>1145399.3799999999</v>
      </c>
      <c r="K12" s="106"/>
      <c r="L12" s="106">
        <f>H12-J12</f>
        <v>1742600.62</v>
      </c>
      <c r="M12" s="77"/>
      <c r="N12" s="81">
        <f>IF(H12,L12/H12,0)</f>
        <v>0.60339356648199449</v>
      </c>
    </row>
    <row r="13" spans="1:23" s="1" customFormat="1">
      <c r="C13" s="1" t="s">
        <v>154</v>
      </c>
      <c r="F13" s="108">
        <f>SUM(F10:F12)</f>
        <v>308075789</v>
      </c>
      <c r="G13" s="109"/>
      <c r="H13" s="108">
        <f>SUM(H10:H12)</f>
        <v>308075789</v>
      </c>
      <c r="I13" s="109"/>
      <c r="J13" s="108">
        <f>SUM(J10:J12)</f>
        <v>304444510.52999997</v>
      </c>
      <c r="K13" s="109"/>
      <c r="L13" s="108">
        <f>SUM(L10:L12)</f>
        <v>3631278.4700000049</v>
      </c>
      <c r="M13" s="6"/>
      <c r="N13" s="71">
        <f>IF(H13,L13/H13,0)</f>
        <v>1.1786964765348714E-2</v>
      </c>
      <c r="P13" s="135">
        <f>+F13-'GF REPORT REV-SUP'!B16</f>
        <v>0</v>
      </c>
      <c r="Q13" s="135">
        <f>+H13-'GF REPORT REV-SUP'!C16</f>
        <v>0</v>
      </c>
      <c r="R13" s="135">
        <f>+J13-'GF REPORT REV-SUP'!D16</f>
        <v>0</v>
      </c>
      <c r="S13" s="135"/>
      <c r="T13" s="135"/>
      <c r="U13" s="135"/>
      <c r="V13" s="135"/>
      <c r="W13" s="135"/>
    </row>
    <row r="14" spans="1:23" s="1" customFormat="1">
      <c r="F14" s="72"/>
      <c r="G14" s="6"/>
      <c r="H14" s="72"/>
      <c r="I14" s="7"/>
      <c r="J14" s="72" t="s">
        <v>43</v>
      </c>
      <c r="K14" s="7"/>
      <c r="L14" s="72"/>
      <c r="M14" s="6"/>
      <c r="N14" s="73"/>
    </row>
    <row r="15" spans="1:23">
      <c r="C15" s="1" t="s">
        <v>48</v>
      </c>
      <c r="F15" s="77"/>
      <c r="G15" s="77"/>
      <c r="H15" s="77"/>
      <c r="I15" s="77"/>
      <c r="J15" s="77"/>
      <c r="K15" s="77"/>
      <c r="L15" s="77"/>
      <c r="M15" s="77"/>
      <c r="N15" s="81"/>
    </row>
    <row r="16" spans="1:23">
      <c r="D16" s="14" t="s">
        <v>49</v>
      </c>
      <c r="F16" s="57">
        <f>+'GF REPORT REV-SUP'!B19</f>
        <v>142000</v>
      </c>
      <c r="G16" s="57"/>
      <c r="H16" s="116">
        <f>+'GF REPORT REV-SUP'!C19</f>
        <v>142000</v>
      </c>
      <c r="I16" s="57"/>
      <c r="J16" s="118">
        <f>+'GF REPORT REV-SUP'!D19</f>
        <v>65785.240000000005</v>
      </c>
      <c r="K16" s="62"/>
      <c r="L16" s="57">
        <f t="shared" ref="L16:L29" si="0">H16-J16</f>
        <v>76214.759999999995</v>
      </c>
      <c r="M16" s="77"/>
      <c r="N16" s="81">
        <f t="shared" ref="N16:N29" si="1">IF(H16,L16/H16,0)</f>
        <v>0.53672366197183097</v>
      </c>
    </row>
    <row r="17" spans="3:14">
      <c r="D17" s="14" t="s">
        <v>50</v>
      </c>
      <c r="F17" s="105">
        <f>+'GF REPORT REV-SUP'!B20</f>
        <v>3512300</v>
      </c>
      <c r="G17" s="105"/>
      <c r="H17" s="117">
        <f>+'GF REPORT REV-SUP'!C20</f>
        <v>3512300</v>
      </c>
      <c r="I17" s="105"/>
      <c r="J17" s="117">
        <f>+'GF REPORT REV-SUP'!D20</f>
        <v>1886041.91</v>
      </c>
      <c r="K17" s="106"/>
      <c r="L17" s="106">
        <f t="shared" si="0"/>
        <v>1626258.09</v>
      </c>
      <c r="M17" s="77"/>
      <c r="N17" s="81">
        <f t="shared" si="1"/>
        <v>0.4630179910599892</v>
      </c>
    </row>
    <row r="18" spans="3:14">
      <c r="D18" s="14" t="s">
        <v>51</v>
      </c>
      <c r="F18" s="105">
        <f>+'GF REPORT REV-SUP'!B21</f>
        <v>11907000</v>
      </c>
      <c r="G18" s="105"/>
      <c r="H18" s="117">
        <f>+'GF REPORT REV-SUP'!C21</f>
        <v>11907000</v>
      </c>
      <c r="I18" s="105"/>
      <c r="J18" s="117">
        <f>+'GF REPORT REV-SUP'!D21</f>
        <v>1561081.73</v>
      </c>
      <c r="K18" s="106"/>
      <c r="L18" s="106">
        <f t="shared" si="0"/>
        <v>10345918.27</v>
      </c>
      <c r="M18" s="77"/>
      <c r="N18" s="81">
        <f t="shared" si="1"/>
        <v>0.86889378264886197</v>
      </c>
    </row>
    <row r="19" spans="3:14">
      <c r="D19" s="14" t="s">
        <v>52</v>
      </c>
      <c r="F19" s="105">
        <f>+'GF REPORT REV-SUP'!B22</f>
        <v>600200</v>
      </c>
      <c r="G19" s="105"/>
      <c r="H19" s="117">
        <f>+'GF REPORT REV-SUP'!C22</f>
        <v>600200</v>
      </c>
      <c r="I19" s="105"/>
      <c r="J19" s="117">
        <f>+'GF REPORT REV-SUP'!D22</f>
        <v>370535.59</v>
      </c>
      <c r="K19" s="106"/>
      <c r="L19" s="106">
        <f t="shared" si="0"/>
        <v>229664.40999999997</v>
      </c>
      <c r="M19" s="77"/>
      <c r="N19" s="81">
        <f t="shared" si="1"/>
        <v>0.38264646784405193</v>
      </c>
    </row>
    <row r="20" spans="3:14">
      <c r="D20" s="14" t="s">
        <v>54</v>
      </c>
      <c r="F20" s="105">
        <f>+'GF REPORT REV-SUP'!B23</f>
        <v>130500</v>
      </c>
      <c r="G20" s="105"/>
      <c r="H20" s="117">
        <f>+'GF REPORT REV-SUP'!C23</f>
        <v>130500</v>
      </c>
      <c r="I20" s="105"/>
      <c r="J20" s="117">
        <f>+'GF REPORT REV-SUP'!D23</f>
        <v>101509.94</v>
      </c>
      <c r="K20" s="106"/>
      <c r="L20" s="106">
        <f t="shared" si="0"/>
        <v>28990.059999999998</v>
      </c>
      <c r="M20" s="77"/>
      <c r="N20" s="81">
        <f t="shared" si="1"/>
        <v>0.22214605363984671</v>
      </c>
    </row>
    <row r="21" spans="3:14">
      <c r="D21" s="14" t="s">
        <v>55</v>
      </c>
      <c r="F21" s="105">
        <f>+'GF REPORT REV-SUP'!B24</f>
        <v>116000</v>
      </c>
      <c r="G21" s="105"/>
      <c r="H21" s="117">
        <f>+'GF REPORT REV-SUP'!C24</f>
        <v>116000</v>
      </c>
      <c r="I21" s="105"/>
      <c r="J21" s="117">
        <f>+'GF REPORT REV-SUP'!D24</f>
        <v>87317.72</v>
      </c>
      <c r="K21" s="106"/>
      <c r="L21" s="106">
        <f t="shared" si="0"/>
        <v>28682.28</v>
      </c>
      <c r="M21" s="77"/>
      <c r="N21" s="81">
        <f t="shared" si="1"/>
        <v>0.2472610344827586</v>
      </c>
    </row>
    <row r="22" spans="3:14">
      <c r="D22" s="14" t="s">
        <v>56</v>
      </c>
      <c r="F22" s="105">
        <f>+'GF REPORT REV-SUP'!B25</f>
        <v>196900</v>
      </c>
      <c r="G22" s="105"/>
      <c r="H22" s="117">
        <f>+'GF REPORT REV-SUP'!C25</f>
        <v>196900</v>
      </c>
      <c r="I22" s="105"/>
      <c r="J22" s="117">
        <f>+'GF REPORT REV-SUP'!D25</f>
        <v>117731.03</v>
      </c>
      <c r="K22" s="106"/>
      <c r="L22" s="106">
        <f t="shared" si="0"/>
        <v>79168.97</v>
      </c>
      <c r="M22" s="77"/>
      <c r="N22" s="81">
        <f t="shared" si="1"/>
        <v>0.4020770441848654</v>
      </c>
    </row>
    <row r="23" spans="3:14">
      <c r="D23" s="14" t="s">
        <v>57</v>
      </c>
      <c r="F23" s="105">
        <f>+'GF REPORT REV-SUP'!B26</f>
        <v>135000</v>
      </c>
      <c r="G23" s="105"/>
      <c r="H23" s="117">
        <f>+'GF REPORT REV-SUP'!C26</f>
        <v>135000</v>
      </c>
      <c r="I23" s="105"/>
      <c r="J23" s="117">
        <f>+'GF REPORT REV-SUP'!D26</f>
        <v>108979</v>
      </c>
      <c r="K23" s="106"/>
      <c r="L23" s="106">
        <f t="shared" si="0"/>
        <v>26021</v>
      </c>
      <c r="M23" s="77"/>
      <c r="N23" s="81">
        <f t="shared" si="1"/>
        <v>0.19274814814814814</v>
      </c>
    </row>
    <row r="24" spans="3:14">
      <c r="D24" s="14" t="s">
        <v>59</v>
      </c>
      <c r="F24" s="105">
        <f>+'GF REPORT REV-SUP'!B27</f>
        <v>435000</v>
      </c>
      <c r="G24" s="105"/>
      <c r="H24" s="117">
        <f>+'GF REPORT REV-SUP'!C27</f>
        <v>435000</v>
      </c>
      <c r="I24" s="105"/>
      <c r="J24" s="117">
        <f>+'GF REPORT REV-SUP'!D27</f>
        <v>214410.23999999999</v>
      </c>
      <c r="K24" s="106"/>
      <c r="L24" s="106">
        <f t="shared" si="0"/>
        <v>220589.76</v>
      </c>
      <c r="M24" s="77"/>
      <c r="N24" s="81">
        <f t="shared" si="1"/>
        <v>0.50710289655172414</v>
      </c>
    </row>
    <row r="25" spans="3:14">
      <c r="D25" s="14" t="s">
        <v>60</v>
      </c>
      <c r="F25" s="105">
        <f>+'GF REPORT REV-SUP'!B28</f>
        <v>201500</v>
      </c>
      <c r="G25" s="105"/>
      <c r="H25" s="117">
        <f>+'GF REPORT REV-SUP'!C28</f>
        <v>201500</v>
      </c>
      <c r="I25" s="105"/>
      <c r="J25" s="117">
        <f>+'GF REPORT REV-SUP'!D28</f>
        <v>110277.85</v>
      </c>
      <c r="K25" s="106"/>
      <c r="L25" s="106">
        <f t="shared" si="0"/>
        <v>91222.15</v>
      </c>
      <c r="M25" s="77"/>
      <c r="N25" s="81">
        <f t="shared" si="1"/>
        <v>0.45271538461538458</v>
      </c>
    </row>
    <row r="26" spans="3:14">
      <c r="D26" s="14" t="s">
        <v>61</v>
      </c>
      <c r="F26" s="105">
        <f>+'GF REPORT REV-SUP'!B29</f>
        <v>380000</v>
      </c>
      <c r="G26" s="105"/>
      <c r="H26" s="117">
        <f>+'GF REPORT REV-SUP'!C29</f>
        <v>380000</v>
      </c>
      <c r="I26" s="105"/>
      <c r="J26" s="117">
        <f>+'GF REPORT REV-SUP'!D29</f>
        <v>201679.9</v>
      </c>
      <c r="K26" s="106"/>
      <c r="L26" s="106">
        <f t="shared" si="0"/>
        <v>178320.1</v>
      </c>
      <c r="M26" s="77"/>
      <c r="N26" s="81">
        <f t="shared" si="1"/>
        <v>0.46926342105263158</v>
      </c>
    </row>
    <row r="27" spans="3:14">
      <c r="D27" s="14" t="s">
        <v>62</v>
      </c>
      <c r="F27" s="105">
        <f>+'GF REPORT REV-SUP'!B30</f>
        <v>263000</v>
      </c>
      <c r="G27" s="105"/>
      <c r="H27" s="117">
        <f>+'GF REPORT REV-SUP'!C30</f>
        <v>263000</v>
      </c>
      <c r="I27" s="105"/>
      <c r="J27" s="117">
        <f>+'GF REPORT REV-SUP'!D30</f>
        <v>157050.19</v>
      </c>
      <c r="K27" s="106"/>
      <c r="L27" s="106">
        <f t="shared" si="0"/>
        <v>105949.81</v>
      </c>
      <c r="M27" s="77"/>
      <c r="N27" s="81">
        <f t="shared" si="1"/>
        <v>0.40285098859315588</v>
      </c>
    </row>
    <row r="28" spans="3:14">
      <c r="D28" s="14" t="s">
        <v>63</v>
      </c>
      <c r="F28" s="105">
        <f>+'GF REPORT REV-SUP'!B31</f>
        <v>22000</v>
      </c>
      <c r="G28" s="105"/>
      <c r="H28" s="117">
        <f>+'GF REPORT REV-SUP'!C31</f>
        <v>22000</v>
      </c>
      <c r="I28" s="105"/>
      <c r="J28" s="117">
        <f>+'GF REPORT REV-SUP'!D31</f>
        <v>13967.63</v>
      </c>
      <c r="K28" s="106"/>
      <c r="L28" s="106">
        <f t="shared" si="0"/>
        <v>8032.3700000000008</v>
      </c>
      <c r="M28" s="77"/>
      <c r="N28" s="81">
        <f t="shared" si="1"/>
        <v>0.36510772727272733</v>
      </c>
    </row>
    <row r="29" spans="3:14">
      <c r="D29" s="14" t="s">
        <v>6</v>
      </c>
      <c r="F29" s="105">
        <f>+'GF REPORT REV-SUP'!B32</f>
        <v>779885</v>
      </c>
      <c r="G29" s="105"/>
      <c r="H29" s="117">
        <f>+'GF REPORT REV-SUP'!C32</f>
        <v>779885</v>
      </c>
      <c r="I29" s="105"/>
      <c r="J29" s="117">
        <f>+'GF REPORT REV-SUP'!D32</f>
        <v>328412.56</v>
      </c>
      <c r="K29" s="106"/>
      <c r="L29" s="107">
        <f t="shared" si="0"/>
        <v>451472.44</v>
      </c>
      <c r="M29" s="77"/>
      <c r="N29" s="81">
        <f t="shared" si="1"/>
        <v>0.57889617058925358</v>
      </c>
    </row>
    <row r="30" spans="3:14" s="1" customFormat="1">
      <c r="E30" s="1" t="s">
        <v>67</v>
      </c>
      <c r="F30" s="108">
        <f>SUM(F16:F29)</f>
        <v>18821285</v>
      </c>
      <c r="G30" s="109"/>
      <c r="H30" s="108">
        <f>SUM(H16:H29)</f>
        <v>18821285</v>
      </c>
      <c r="I30" s="109"/>
      <c r="J30" s="108">
        <f>SUM(J16:J29)</f>
        <v>5324780.53</v>
      </c>
      <c r="K30" s="109"/>
      <c r="L30" s="109">
        <f>SUM(L16:L29)</f>
        <v>13496504.469999999</v>
      </c>
      <c r="M30" s="6"/>
      <c r="N30" s="71">
        <f>IF(H30,L30/H30,0)</f>
        <v>0.7170873014249558</v>
      </c>
    </row>
    <row r="31" spans="3:14" s="1" customFormat="1">
      <c r="F31" s="72"/>
      <c r="G31" s="6"/>
      <c r="H31" s="72"/>
      <c r="I31" s="7"/>
      <c r="J31" s="72" t="s">
        <v>43</v>
      </c>
      <c r="K31" s="7"/>
      <c r="L31" s="72" t="s">
        <v>43</v>
      </c>
      <c r="M31" s="6"/>
      <c r="N31" s="73"/>
    </row>
    <row r="32" spans="3:14">
      <c r="C32" s="1" t="s">
        <v>64</v>
      </c>
      <c r="F32" s="77"/>
      <c r="G32" s="77"/>
      <c r="H32" s="77"/>
      <c r="I32" s="77"/>
      <c r="J32" s="77"/>
      <c r="K32" s="77"/>
      <c r="L32" s="77"/>
      <c r="M32" s="77"/>
      <c r="N32" s="81"/>
    </row>
    <row r="33" spans="3:14">
      <c r="D33" s="14" t="s">
        <v>50</v>
      </c>
      <c r="F33" s="57">
        <f>+'GF REPORT REV-SUP'!B37</f>
        <v>355100</v>
      </c>
      <c r="G33" s="57"/>
      <c r="H33" s="116">
        <f>+'GF REPORT REV-SUP'!C37</f>
        <v>355100</v>
      </c>
      <c r="I33" s="57"/>
      <c r="J33" s="118">
        <f>+'GF REPORT REV-SUP'!D37</f>
        <v>173265.26</v>
      </c>
      <c r="K33" s="78"/>
      <c r="L33" s="57">
        <f t="shared" ref="L33:L37" si="2">H33-J33</f>
        <v>181834.74</v>
      </c>
      <c r="M33" s="77"/>
      <c r="N33" s="81">
        <f t="shared" ref="N33:N38" si="3">IF(H33,L33/H33,0)</f>
        <v>0.51206629118558145</v>
      </c>
    </row>
    <row r="34" spans="3:14">
      <c r="D34" s="14" t="s">
        <v>52</v>
      </c>
      <c r="F34" s="105">
        <f>+'GF REPORT REV-SUP'!B38</f>
        <v>61200</v>
      </c>
      <c r="G34" s="105"/>
      <c r="H34" s="117">
        <f>+'GF REPORT REV-SUP'!C38</f>
        <v>61200</v>
      </c>
      <c r="I34" s="105"/>
      <c r="J34" s="117">
        <f>+'GF REPORT REV-SUP'!D38</f>
        <v>16032.81</v>
      </c>
      <c r="K34" s="106"/>
      <c r="L34" s="106">
        <f t="shared" si="2"/>
        <v>45167.19</v>
      </c>
      <c r="M34" s="77"/>
      <c r="N34" s="81">
        <f t="shared" si="3"/>
        <v>0.73802598039215694</v>
      </c>
    </row>
    <row r="35" spans="3:14">
      <c r="D35" s="14" t="s">
        <v>54</v>
      </c>
      <c r="F35" s="105">
        <f>+'GF REPORT REV-SUP'!B39</f>
        <v>139700</v>
      </c>
      <c r="G35" s="105"/>
      <c r="H35" s="117">
        <f>+'GF REPORT REV-SUP'!C39</f>
        <v>139700</v>
      </c>
      <c r="I35" s="105"/>
      <c r="J35" s="117">
        <f>+'GF REPORT REV-SUP'!D39</f>
        <v>91558.2</v>
      </c>
      <c r="K35" s="106"/>
      <c r="L35" s="106">
        <f t="shared" si="2"/>
        <v>48141.8</v>
      </c>
      <c r="M35" s="77"/>
      <c r="N35" s="81">
        <f t="shared" si="3"/>
        <v>0.34460844667143881</v>
      </c>
    </row>
    <row r="36" spans="3:14">
      <c r="D36" s="14" t="s">
        <v>55</v>
      </c>
      <c r="F36" s="105">
        <f>+'GF REPORT REV-SUP'!B40</f>
        <v>233500</v>
      </c>
      <c r="G36" s="105"/>
      <c r="H36" s="117">
        <f>+'GF REPORT REV-SUP'!C40</f>
        <v>233500</v>
      </c>
      <c r="I36" s="105"/>
      <c r="J36" s="117">
        <f>+'GF REPORT REV-SUP'!D40</f>
        <v>123556.6</v>
      </c>
      <c r="K36" s="106"/>
      <c r="L36" s="106">
        <f t="shared" si="2"/>
        <v>109943.4</v>
      </c>
      <c r="M36" s="77"/>
      <c r="N36" s="81">
        <f t="shared" si="3"/>
        <v>0.47084967880085649</v>
      </c>
    </row>
    <row r="37" spans="3:14">
      <c r="D37" s="14" t="s">
        <v>56</v>
      </c>
      <c r="F37" s="105">
        <f>+'GF REPORT REV-SUP'!B41</f>
        <v>1100000</v>
      </c>
      <c r="G37" s="105"/>
      <c r="H37" s="117">
        <f>+'GF REPORT REV-SUP'!C41</f>
        <v>1100000</v>
      </c>
      <c r="I37" s="105"/>
      <c r="J37" s="117">
        <f>+'GF REPORT REV-SUP'!D41</f>
        <v>508842.15</v>
      </c>
      <c r="K37" s="106"/>
      <c r="L37" s="106">
        <f t="shared" si="2"/>
        <v>591157.85</v>
      </c>
      <c r="M37" s="77"/>
      <c r="N37" s="81">
        <f t="shared" si="3"/>
        <v>0.5374162272727272</v>
      </c>
    </row>
    <row r="38" spans="3:14">
      <c r="D38" s="14" t="s">
        <v>57</v>
      </c>
      <c r="F38" s="105">
        <f>+'GF REPORT REV-SUP'!B42</f>
        <v>520000</v>
      </c>
      <c r="G38" s="105"/>
      <c r="H38" s="117">
        <f>+'GF REPORT REV-SUP'!C42</f>
        <v>520000</v>
      </c>
      <c r="I38" s="105"/>
      <c r="J38" s="117">
        <f>+'GF REPORT REV-SUP'!D42</f>
        <v>248933.87</v>
      </c>
      <c r="K38" s="106"/>
      <c r="L38" s="106">
        <f>H38-J38</f>
        <v>271066.13</v>
      </c>
      <c r="M38" s="77"/>
      <c r="N38" s="81">
        <f t="shared" si="3"/>
        <v>0.52128101923076919</v>
      </c>
    </row>
    <row r="39" spans="3:14" s="1" customFormat="1">
      <c r="E39" s="1" t="s">
        <v>68</v>
      </c>
      <c r="F39" s="108">
        <f>SUM(F33:F38)</f>
        <v>2409500</v>
      </c>
      <c r="G39" s="109"/>
      <c r="H39" s="108">
        <f>SUM(H33:H38)</f>
        <v>2409500</v>
      </c>
      <c r="I39" s="109"/>
      <c r="J39" s="108">
        <f>SUM(J33:J38)</f>
        <v>1162188.8900000001</v>
      </c>
      <c r="K39" s="109"/>
      <c r="L39" s="108">
        <f>SUM(L33:L38)</f>
        <v>1247311.1099999999</v>
      </c>
      <c r="M39" s="6"/>
      <c r="N39" s="71">
        <f>IF(H39,L39/H39,0)</f>
        <v>0.51766387632288846</v>
      </c>
    </row>
    <row r="40" spans="3:14" s="1" customFormat="1" ht="16.5" customHeight="1">
      <c r="F40" s="72"/>
      <c r="G40" s="6"/>
      <c r="H40" s="72"/>
      <c r="I40" s="7"/>
      <c r="J40" s="72" t="s">
        <v>43</v>
      </c>
      <c r="K40" s="7"/>
      <c r="L40" s="72" t="s">
        <v>43</v>
      </c>
      <c r="M40" s="6"/>
      <c r="N40" s="73"/>
    </row>
    <row r="41" spans="3:14">
      <c r="C41" s="1" t="s">
        <v>65</v>
      </c>
      <c r="F41" s="77"/>
      <c r="G41" s="77"/>
      <c r="H41" s="77"/>
      <c r="I41" s="77"/>
      <c r="J41" s="77"/>
      <c r="K41" s="77"/>
      <c r="L41" s="77"/>
      <c r="M41" s="77"/>
      <c r="N41" s="81"/>
    </row>
    <row r="42" spans="3:14">
      <c r="D42" s="14" t="s">
        <v>7</v>
      </c>
      <c r="F42" s="57">
        <f>+'GF REPORT REV-SUP'!B47</f>
        <v>14641516</v>
      </c>
      <c r="G42" s="57"/>
      <c r="H42" s="116">
        <f>+'GF REPORT REV-SUP'!C47</f>
        <v>14641516</v>
      </c>
      <c r="I42" s="57"/>
      <c r="J42" s="118">
        <f>+'GF REPORT REV-SUP'!D47</f>
        <v>7306451.5700000003</v>
      </c>
      <c r="K42" s="78"/>
      <c r="L42" s="57">
        <f>H42-J42</f>
        <v>7335064.4299999997</v>
      </c>
      <c r="M42" s="77"/>
      <c r="N42" s="81">
        <f t="shared" ref="N42:N46" si="4">IF(H42,L42/H42,0)</f>
        <v>0.5009771139819128</v>
      </c>
    </row>
    <row r="43" spans="3:14">
      <c r="D43" s="14" t="s">
        <v>49</v>
      </c>
      <c r="F43" s="110">
        <f>+'GF REPORT REV-SUP'!B48</f>
        <v>0</v>
      </c>
      <c r="G43" s="106"/>
      <c r="H43" s="119">
        <f>+'GF REPORT REV-SUP'!C48</f>
        <v>0</v>
      </c>
      <c r="I43" s="111"/>
      <c r="J43" s="117">
        <f>+'GF REPORT REV-SUP'!D48</f>
        <v>173947.5</v>
      </c>
      <c r="K43" s="106"/>
      <c r="L43" s="106">
        <f>H43-J43</f>
        <v>-173947.5</v>
      </c>
      <c r="M43" s="77"/>
      <c r="N43" s="81">
        <f t="shared" si="4"/>
        <v>0</v>
      </c>
    </row>
    <row r="44" spans="3:14">
      <c r="D44" s="14" t="s">
        <v>45</v>
      </c>
      <c r="F44" s="110">
        <f>+'GF REPORT REV-SUP'!B49</f>
        <v>0</v>
      </c>
      <c r="G44" s="106"/>
      <c r="H44" s="119">
        <f>+'GF REPORT REV-SUP'!C49</f>
        <v>0</v>
      </c>
      <c r="I44" s="111"/>
      <c r="J44" s="117">
        <f>+'GF REPORT REV-SUP'!D49</f>
        <v>14903.2</v>
      </c>
      <c r="K44" s="106"/>
      <c r="L44" s="106">
        <f>H44-J44</f>
        <v>-14903.2</v>
      </c>
      <c r="M44" s="77"/>
      <c r="N44" s="81">
        <f t="shared" si="4"/>
        <v>0</v>
      </c>
    </row>
    <row r="45" spans="3:14">
      <c r="D45" s="14" t="s">
        <v>8</v>
      </c>
      <c r="F45" s="101">
        <f>+'GF REPORT REV-SUP'!B50</f>
        <v>909100</v>
      </c>
      <c r="G45" s="101"/>
      <c r="H45" s="120">
        <f>+'GF REPORT REV-SUP'!C50</f>
        <v>909100</v>
      </c>
      <c r="I45" s="111"/>
      <c r="J45" s="117">
        <f>+'GF REPORT REV-SUP'!D50</f>
        <v>559283.69999999995</v>
      </c>
      <c r="K45" s="106"/>
      <c r="L45" s="106">
        <f t="shared" ref="L45:L46" si="5">H45-J45</f>
        <v>349816.30000000005</v>
      </c>
      <c r="M45" s="77"/>
      <c r="N45" s="81">
        <f t="shared" si="4"/>
        <v>0.38479408205917948</v>
      </c>
    </row>
    <row r="46" spans="3:14">
      <c r="D46" s="14" t="s">
        <v>6</v>
      </c>
      <c r="F46" s="101">
        <f>+'GF REPORT REV-SUP'!B51</f>
        <v>7027758</v>
      </c>
      <c r="G46" s="101"/>
      <c r="H46" s="120">
        <f>+'GF REPORT REV-SUP'!C51</f>
        <v>7027758</v>
      </c>
      <c r="I46" s="111"/>
      <c r="J46" s="117">
        <f>+'GF REPORT REV-SUP'!D51</f>
        <v>2797639.45</v>
      </c>
      <c r="K46" s="106"/>
      <c r="L46" s="106">
        <f t="shared" si="5"/>
        <v>4230118.55</v>
      </c>
      <c r="M46" s="77"/>
      <c r="N46" s="81">
        <f t="shared" si="4"/>
        <v>0.60191579590532285</v>
      </c>
    </row>
    <row r="47" spans="3:14" s="1" customFormat="1">
      <c r="E47" s="1" t="s">
        <v>69</v>
      </c>
      <c r="F47" s="108">
        <f>SUM(F42:F46)</f>
        <v>22578374</v>
      </c>
      <c r="G47" s="109"/>
      <c r="H47" s="108">
        <f>SUM(H42:H46)</f>
        <v>22578374</v>
      </c>
      <c r="I47" s="109"/>
      <c r="J47" s="108">
        <f>SUM(J42:J46)</f>
        <v>10852225.420000002</v>
      </c>
      <c r="K47" s="109"/>
      <c r="L47" s="108">
        <f>SUM(L42:L46)</f>
        <v>11726148.579999998</v>
      </c>
      <c r="M47" s="6"/>
      <c r="N47" s="71">
        <f>IF(H47,L47/H47,0)</f>
        <v>0.51935310222073561</v>
      </c>
    </row>
    <row r="48" spans="3:14" s="1" customFormat="1">
      <c r="F48" s="72"/>
      <c r="G48" s="6"/>
      <c r="H48" s="72"/>
      <c r="I48" s="7"/>
      <c r="J48" s="72" t="s">
        <v>43</v>
      </c>
      <c r="K48" s="7"/>
      <c r="L48" s="72" t="s">
        <v>43</v>
      </c>
      <c r="M48" s="6"/>
      <c r="N48" s="73"/>
    </row>
    <row r="49" spans="2:16" ht="17.25" customHeight="1">
      <c r="C49" s="1" t="s">
        <v>9</v>
      </c>
      <c r="F49" s="77"/>
      <c r="G49" s="77"/>
      <c r="H49" s="77"/>
      <c r="I49" s="77"/>
      <c r="J49" s="77"/>
      <c r="K49" s="77"/>
      <c r="L49" s="77"/>
      <c r="M49" s="77"/>
      <c r="N49" s="81"/>
    </row>
    <row r="50" spans="2:16">
      <c r="D50" s="14" t="s">
        <v>66</v>
      </c>
      <c r="F50" s="57">
        <f>+'GF REPORT REV-SUP'!B56</f>
        <v>70000</v>
      </c>
      <c r="G50" s="57"/>
      <c r="H50" s="116">
        <f>+'GF REPORT REV-SUP'!C56</f>
        <v>70000</v>
      </c>
      <c r="I50" s="57"/>
      <c r="J50" s="121">
        <f>+'GF REPORT REV-SUP'!D56</f>
        <v>0</v>
      </c>
      <c r="K50" s="78"/>
      <c r="L50" s="57">
        <f>H50-J50</f>
        <v>70000</v>
      </c>
      <c r="M50" s="77"/>
      <c r="N50" s="81">
        <f t="shared" ref="N50:N51" si="6">IF(H50,L50/H50,0)</f>
        <v>1</v>
      </c>
    </row>
    <row r="51" spans="2:16">
      <c r="D51" s="14" t="s">
        <v>6</v>
      </c>
      <c r="F51" s="105">
        <f>+'GF REPORT REV-SUP'!B57</f>
        <v>3599310</v>
      </c>
      <c r="G51" s="105"/>
      <c r="H51" s="117">
        <f>+'GF REPORT REV-SUP'!C57</f>
        <v>3711810</v>
      </c>
      <c r="I51" s="105"/>
      <c r="J51" s="117">
        <f>+'GF REPORT REV-SUP'!D57</f>
        <v>-2359090.29</v>
      </c>
      <c r="K51" s="106"/>
      <c r="L51" s="107">
        <f>H51-J51</f>
        <v>6070900.29</v>
      </c>
      <c r="M51" s="77"/>
      <c r="N51" s="81">
        <f t="shared" si="6"/>
        <v>1.6355633208596345</v>
      </c>
      <c r="P51" s="1"/>
    </row>
    <row r="52" spans="2:16" s="1" customFormat="1">
      <c r="E52" s="1" t="s">
        <v>70</v>
      </c>
      <c r="F52" s="108">
        <f>SUM(F50:F51)</f>
        <v>3669310</v>
      </c>
      <c r="G52" s="109"/>
      <c r="H52" s="108">
        <f>SUM(H50:H51)</f>
        <v>3781810</v>
      </c>
      <c r="I52" s="109"/>
      <c r="J52" s="108">
        <f>SUM(J50:J51)</f>
        <v>-2359090.29</v>
      </c>
      <c r="K52" s="109"/>
      <c r="L52" s="109">
        <f>SUM(L50:L51)</f>
        <v>6140900.29</v>
      </c>
      <c r="M52" s="6"/>
      <c r="N52" s="71">
        <f>IF(H52,L52/H52,0)</f>
        <v>1.6237992627868667</v>
      </c>
    </row>
    <row r="53" spans="2:16" s="1" customFormat="1">
      <c r="F53" s="72"/>
      <c r="G53" s="6"/>
      <c r="H53" s="72"/>
      <c r="I53" s="7"/>
      <c r="J53" s="72" t="s">
        <v>43</v>
      </c>
      <c r="K53" s="7"/>
      <c r="L53" s="72" t="s">
        <v>43</v>
      </c>
      <c r="M53" s="6"/>
      <c r="N53" s="73"/>
    </row>
    <row r="54" spans="2:16">
      <c r="C54" s="1" t="s">
        <v>71</v>
      </c>
      <c r="F54" s="77"/>
      <c r="G54" s="77"/>
      <c r="H54" s="77"/>
      <c r="I54" s="77"/>
      <c r="J54" s="77"/>
      <c r="K54" s="77"/>
      <c r="L54" s="77"/>
      <c r="M54" s="77"/>
      <c r="N54" s="81"/>
    </row>
    <row r="55" spans="2:16">
      <c r="D55" s="14" t="s">
        <v>72</v>
      </c>
      <c r="F55" s="57">
        <f>+'GF REPORT REV-SUP'!B70</f>
        <v>13850315</v>
      </c>
      <c r="G55" s="57"/>
      <c r="H55" s="116">
        <f>+'GF REPORT REV-SUP'!C70</f>
        <v>13850315</v>
      </c>
      <c r="I55" s="57"/>
      <c r="J55" s="116">
        <f>+'GF REPORT REV-SUP'!D70</f>
        <v>7511601.9900000002</v>
      </c>
      <c r="K55" s="78"/>
      <c r="L55" s="57">
        <f>H55-J55</f>
        <v>6338713.0099999998</v>
      </c>
      <c r="M55" s="77"/>
      <c r="N55" s="81">
        <f t="shared" ref="N55:N57" si="7">IF(H55,L55/H55,0)</f>
        <v>0.45765840054901274</v>
      </c>
    </row>
    <row r="56" spans="2:16">
      <c r="D56" s="14" t="s">
        <v>6</v>
      </c>
      <c r="F56" s="105">
        <f>+'GF REPORT REV-SUP'!B71</f>
        <v>166200</v>
      </c>
      <c r="G56" s="105"/>
      <c r="H56" s="117">
        <f>+'GF REPORT REV-SUP'!C71</f>
        <v>166824</v>
      </c>
      <c r="I56" s="105"/>
      <c r="J56" s="117">
        <f>+'GF REPORT REV-SUP'!D71</f>
        <v>1093650.74</v>
      </c>
      <c r="K56" s="106"/>
      <c r="L56" s="106">
        <f>H56-J56</f>
        <v>-926826.74</v>
      </c>
      <c r="M56" s="77"/>
      <c r="N56" s="81">
        <f t="shared" si="7"/>
        <v>-5.5557158442430348</v>
      </c>
    </row>
    <row r="57" spans="2:16">
      <c r="D57" s="14" t="s">
        <v>73</v>
      </c>
      <c r="F57" s="105">
        <f>+'GF REPORT REV-SUP'!B72</f>
        <v>100000</v>
      </c>
      <c r="G57" s="105"/>
      <c r="H57" s="117">
        <f>+'GF REPORT REV-SUP'!C72</f>
        <v>100000</v>
      </c>
      <c r="I57" s="105"/>
      <c r="J57" s="117">
        <f>+'GF REPORT REV-SUP'!D72</f>
        <v>22948</v>
      </c>
      <c r="K57" s="106"/>
      <c r="L57" s="106">
        <f>H57-J57</f>
        <v>77052</v>
      </c>
      <c r="M57" s="77"/>
      <c r="N57" s="81">
        <f t="shared" si="7"/>
        <v>0.77051999999999998</v>
      </c>
    </row>
    <row r="58" spans="2:16">
      <c r="D58" s="14" t="s">
        <v>226</v>
      </c>
      <c r="F58" s="105">
        <f>+'GF REPORT REV-SUP'!B73</f>
        <v>0</v>
      </c>
      <c r="G58" s="105"/>
      <c r="H58" s="117">
        <f>+'GF REPORT REV-SUP'!C73</f>
        <v>0</v>
      </c>
      <c r="I58" s="105"/>
      <c r="J58" s="117">
        <f>+'GF REPORT REV-SUP'!D73</f>
        <v>0</v>
      </c>
      <c r="K58" s="106"/>
      <c r="L58" s="106">
        <f t="shared" ref="L58:L59" si="8">H58-J58</f>
        <v>0</v>
      </c>
      <c r="M58" s="77"/>
      <c r="N58" s="81">
        <f t="shared" ref="N58:N59" si="9">IF(H58,L58/H58,0)</f>
        <v>0</v>
      </c>
    </row>
    <row r="59" spans="2:16">
      <c r="D59" s="14" t="s">
        <v>31</v>
      </c>
      <c r="F59" s="110">
        <f>+'GF REPORT REV-SUP'!B74</f>
        <v>417219</v>
      </c>
      <c r="G59" s="101"/>
      <c r="H59" s="119">
        <f>+'GF REPORT REV-SUP'!C74</f>
        <v>417219</v>
      </c>
      <c r="I59" s="101"/>
      <c r="J59" s="119">
        <f>+'GF REPORT REV-SUP'!D74</f>
        <v>0</v>
      </c>
      <c r="K59" s="106"/>
      <c r="L59" s="110">
        <f t="shared" si="8"/>
        <v>417219</v>
      </c>
      <c r="M59" s="77"/>
      <c r="N59" s="81">
        <f t="shared" si="9"/>
        <v>1</v>
      </c>
    </row>
    <row r="60" spans="2:16" s="1" customFormat="1">
      <c r="E60" s="1" t="s">
        <v>74</v>
      </c>
      <c r="F60" s="108">
        <f>SUM(F55:F59)</f>
        <v>14533734</v>
      </c>
      <c r="G60" s="109"/>
      <c r="H60" s="108">
        <f>SUM(H55:H59)</f>
        <v>14534358</v>
      </c>
      <c r="I60" s="109"/>
      <c r="J60" s="108">
        <f>SUM(J55:J59)</f>
        <v>8628200.7300000004</v>
      </c>
      <c r="K60" s="109"/>
      <c r="L60" s="108">
        <f>SUM(L55:L59)</f>
        <v>5906157.2699999996</v>
      </c>
      <c r="M60" s="6"/>
      <c r="N60" s="71">
        <f>IF(H60,L60/H60,0)</f>
        <v>0.4063583179938185</v>
      </c>
    </row>
    <row r="61" spans="2:16">
      <c r="F61" s="55"/>
      <c r="G61" s="55"/>
      <c r="H61" s="55"/>
      <c r="I61" s="55"/>
      <c r="J61" s="55"/>
      <c r="K61" s="55"/>
      <c r="L61" s="55"/>
      <c r="N61" s="81"/>
    </row>
    <row r="62" spans="2:16" s="1" customFormat="1" ht="13.8" thickBot="1">
      <c r="B62" s="1" t="s">
        <v>41</v>
      </c>
      <c r="F62" s="112">
        <f>F60+F52+F47+F39+F30+F13</f>
        <v>370087992</v>
      </c>
      <c r="G62" s="109"/>
      <c r="H62" s="112">
        <f>H60+H52+H47+H39+H30+H13</f>
        <v>370201116</v>
      </c>
      <c r="I62" s="109"/>
      <c r="J62" s="112">
        <f>J60+J52+J47+J39+J30+J13</f>
        <v>328052815.81</v>
      </c>
      <c r="K62" s="109"/>
      <c r="L62" s="112">
        <f>L60+L52+L47+L39+L30+L13</f>
        <v>42148300.190000005</v>
      </c>
      <c r="M62" s="7"/>
      <c r="N62" s="8">
        <f>IF(H62,L62/H62,0)</f>
        <v>0.1138524395750336</v>
      </c>
    </row>
    <row r="63" spans="2:16" s="1" customFormat="1" ht="13.8" thickTop="1">
      <c r="F63" s="7"/>
      <c r="G63" s="7"/>
      <c r="H63" s="7"/>
      <c r="I63" s="7"/>
      <c r="J63" s="7"/>
      <c r="K63" s="7"/>
      <c r="L63" s="7" t="s">
        <v>43</v>
      </c>
      <c r="M63" s="7"/>
      <c r="N63" s="73"/>
    </row>
    <row r="64" spans="2:16">
      <c r="J64" s="65" t="s">
        <v>43</v>
      </c>
      <c r="L64" s="14" t="s">
        <v>43</v>
      </c>
    </row>
    <row r="65" spans="5:12">
      <c r="J65" s="83" t="s">
        <v>43</v>
      </c>
      <c r="L65" s="83" t="s">
        <v>43</v>
      </c>
    </row>
    <row r="79" spans="5:12">
      <c r="E79" s="14" t="str" cm="1">
        <f t="array" aca="1" ref="E79" ca="1">CELL("filename")</f>
        <v>C:\Users\nzinsmeyer\AppData\Local\Microsoft\Windows\INetCache\Content.Outlook\NZ8NN1ME\[Mar 26 FINANCIAL REPORT unaudited_UPDATED.xlsx]R&amp;B and Debt Svc</v>
      </c>
    </row>
  </sheetData>
  <mergeCells count="4">
    <mergeCell ref="B4:N4"/>
    <mergeCell ref="B6:N6"/>
    <mergeCell ref="B5:N5"/>
    <mergeCell ref="B7:N7"/>
  </mergeCells>
  <phoneticPr fontId="3" type="noConversion"/>
  <printOptions horizontalCentered="1"/>
  <pageMargins left="0.75" right="0.75" top="0.71" bottom="0.55000000000000004" header="0.5" footer="0.16"/>
  <pageSetup fitToHeight="0" orientation="landscape" r:id="rId1"/>
  <headerFooter alignWithMargins="0"/>
  <rowBreaks count="1" manualBreakCount="1">
    <brk id="40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9D385-980D-462D-B83D-AA6CDE232533}">
  <sheetPr>
    <tabColor rgb="FFFFFF00"/>
  </sheetPr>
  <dimension ref="A1:L81"/>
  <sheetViews>
    <sheetView topLeftCell="A39" workbookViewId="0">
      <selection activeCell="H71" sqref="H71"/>
    </sheetView>
  </sheetViews>
  <sheetFormatPr defaultRowHeight="13.2"/>
  <cols>
    <col min="1" max="1" width="42.44140625" bestFit="1" customWidth="1"/>
    <col min="2" max="5" width="22" bestFit="1" customWidth="1"/>
    <col min="6" max="6" width="14" bestFit="1" customWidth="1"/>
    <col min="8" max="8" width="28.109375" customWidth="1"/>
    <col min="9" max="12" width="22" bestFit="1" customWidth="1"/>
    <col min="13" max="13" width="14" bestFit="1" customWidth="1"/>
  </cols>
  <sheetData>
    <row r="1" spans="1:12">
      <c r="A1" s="128"/>
      <c r="B1" t="s">
        <v>174</v>
      </c>
      <c r="C1" t="s">
        <v>175</v>
      </c>
      <c r="E1" t="s">
        <v>453</v>
      </c>
      <c r="F1" t="s">
        <v>466</v>
      </c>
      <c r="H1" s="128"/>
    </row>
    <row r="2" spans="1:12">
      <c r="A2" s="128"/>
      <c r="B2" t="s">
        <v>176</v>
      </c>
      <c r="C2" t="s">
        <v>177</v>
      </c>
      <c r="F2" t="s">
        <v>178</v>
      </c>
      <c r="H2" s="128"/>
    </row>
    <row r="3" spans="1:12">
      <c r="A3" s="128"/>
      <c r="B3" t="s">
        <v>179</v>
      </c>
      <c r="C3" t="s">
        <v>467</v>
      </c>
      <c r="H3" s="128"/>
    </row>
    <row r="4" spans="1:12">
      <c r="A4" s="128"/>
      <c r="H4" s="128"/>
    </row>
    <row r="5" spans="1:12">
      <c r="A5" s="128" t="s">
        <v>180</v>
      </c>
      <c r="H5" s="128"/>
    </row>
    <row r="6" spans="1:12">
      <c r="A6" s="128" t="s">
        <v>181</v>
      </c>
      <c r="B6" t="s">
        <v>182</v>
      </c>
      <c r="C6" t="s">
        <v>183</v>
      </c>
      <c r="D6" t="s">
        <v>184</v>
      </c>
      <c r="H6" s="128"/>
    </row>
    <row r="7" spans="1:12">
      <c r="A7" s="128"/>
      <c r="B7" t="s">
        <v>185</v>
      </c>
      <c r="C7" t="s">
        <v>186</v>
      </c>
      <c r="D7" t="s">
        <v>0</v>
      </c>
      <c r="E7" t="s">
        <v>187</v>
      </c>
      <c r="F7" t="s">
        <v>188</v>
      </c>
      <c r="H7" s="128"/>
    </row>
    <row r="8" spans="1:12">
      <c r="A8" s="128"/>
      <c r="B8" t="s">
        <v>189</v>
      </c>
      <c r="C8" t="s">
        <v>189</v>
      </c>
      <c r="E8" t="s">
        <v>190</v>
      </c>
      <c r="F8" t="s">
        <v>191</v>
      </c>
      <c r="H8" s="128"/>
    </row>
    <row r="9" spans="1:12">
      <c r="A9" s="128"/>
      <c r="B9" t="s">
        <v>192</v>
      </c>
      <c r="C9" t="s">
        <v>192</v>
      </c>
      <c r="D9" t="s">
        <v>192</v>
      </c>
      <c r="E9" t="s">
        <v>192</v>
      </c>
      <c r="F9" t="s">
        <v>193</v>
      </c>
      <c r="H9" s="128"/>
    </row>
    <row r="10" spans="1:12">
      <c r="A10" s="128" t="s">
        <v>172</v>
      </c>
      <c r="H10" s="128"/>
    </row>
    <row r="11" spans="1:12">
      <c r="A11" s="128" t="s">
        <v>3</v>
      </c>
      <c r="H11" s="128"/>
    </row>
    <row r="12" spans="1:12">
      <c r="A12" s="128" t="s">
        <v>194</v>
      </c>
      <c r="B12" s="2">
        <v>304252789</v>
      </c>
      <c r="C12" s="2">
        <v>304252789</v>
      </c>
      <c r="D12" s="2">
        <v>303013508.63</v>
      </c>
      <c r="E12" s="2">
        <v>1239280.3700000001</v>
      </c>
      <c r="F12">
        <v>0.41</v>
      </c>
      <c r="H12" s="128"/>
      <c r="I12" s="2"/>
      <c r="J12" s="2"/>
      <c r="K12" s="2"/>
      <c r="L12" s="2"/>
    </row>
    <row r="13" spans="1:12">
      <c r="A13" s="128" t="s">
        <v>195</v>
      </c>
      <c r="B13" s="2">
        <v>935000</v>
      </c>
      <c r="C13" s="2">
        <v>935000</v>
      </c>
      <c r="D13" s="2">
        <v>285602.52</v>
      </c>
      <c r="E13" s="2">
        <v>649397.48</v>
      </c>
      <c r="F13">
        <v>69.45</v>
      </c>
      <c r="H13" s="128"/>
      <c r="I13" s="2"/>
      <c r="J13" s="2"/>
      <c r="K13" s="2"/>
      <c r="L13" s="2"/>
    </row>
    <row r="14" spans="1:12">
      <c r="A14" s="128" t="s">
        <v>4</v>
      </c>
      <c r="B14" s="2">
        <v>2888000</v>
      </c>
      <c r="C14" s="2">
        <v>2888000</v>
      </c>
      <c r="D14" s="2">
        <v>1145399.3799999999</v>
      </c>
      <c r="E14" s="2">
        <v>1742600.62</v>
      </c>
      <c r="F14">
        <v>60.34</v>
      </c>
      <c r="H14" s="128"/>
      <c r="I14" s="2"/>
      <c r="J14" s="2"/>
      <c r="K14" s="2"/>
      <c r="L14" s="2"/>
    </row>
    <row r="15" spans="1:12">
      <c r="A15" s="128"/>
      <c r="B15" t="s">
        <v>196</v>
      </c>
      <c r="C15" t="s">
        <v>196</v>
      </c>
      <c r="D15" t="s">
        <v>196</v>
      </c>
      <c r="E15" t="s">
        <v>196</v>
      </c>
      <c r="F15" t="s">
        <v>197</v>
      </c>
      <c r="H15" s="128"/>
    </row>
    <row r="16" spans="1:12">
      <c r="A16" s="128" t="s">
        <v>5</v>
      </c>
      <c r="B16" s="2">
        <v>308075789</v>
      </c>
      <c r="C16" s="2">
        <v>308075789</v>
      </c>
      <c r="D16" s="2">
        <v>304444510.52999997</v>
      </c>
      <c r="E16" s="2">
        <v>3631278.47</v>
      </c>
      <c r="F16">
        <v>1.18</v>
      </c>
      <c r="H16" s="128"/>
      <c r="I16" s="2"/>
      <c r="J16" s="2"/>
      <c r="K16" s="2"/>
      <c r="L16" s="2"/>
    </row>
    <row r="17" spans="1:12">
      <c r="A17" s="128"/>
      <c r="B17" t="s">
        <v>196</v>
      </c>
      <c r="C17" t="s">
        <v>196</v>
      </c>
      <c r="D17" t="s">
        <v>196</v>
      </c>
      <c r="E17" t="s">
        <v>196</v>
      </c>
      <c r="F17" t="s">
        <v>197</v>
      </c>
      <c r="H17" s="128"/>
    </row>
    <row r="18" spans="1:12">
      <c r="A18" s="128" t="s">
        <v>198</v>
      </c>
      <c r="H18" s="128"/>
    </row>
    <row r="19" spans="1:12">
      <c r="A19" s="128" t="s">
        <v>199</v>
      </c>
      <c r="B19" s="2">
        <v>142000</v>
      </c>
      <c r="C19" s="2">
        <v>142000</v>
      </c>
      <c r="D19" s="2">
        <v>65785.240000000005</v>
      </c>
      <c r="E19" s="2">
        <v>76214.759999999995</v>
      </c>
      <c r="F19">
        <v>53.67</v>
      </c>
      <c r="H19" s="128"/>
      <c r="I19" s="2"/>
      <c r="J19" s="2"/>
      <c r="K19" s="2"/>
      <c r="L19" s="2"/>
    </row>
    <row r="20" spans="1:12">
      <c r="A20" s="128" t="s">
        <v>200</v>
      </c>
      <c r="B20" s="2">
        <v>3512300</v>
      </c>
      <c r="C20" s="2">
        <v>3512300</v>
      </c>
      <c r="D20" s="2">
        <v>1886041.91</v>
      </c>
      <c r="E20" s="2">
        <v>1626258.09</v>
      </c>
      <c r="F20">
        <v>46.3</v>
      </c>
      <c r="H20" s="128"/>
      <c r="I20" s="2"/>
      <c r="J20" s="2"/>
      <c r="K20" s="2"/>
      <c r="L20" s="2"/>
    </row>
    <row r="21" spans="1:12">
      <c r="A21" s="128" t="s">
        <v>201</v>
      </c>
      <c r="B21" s="2">
        <v>11907000</v>
      </c>
      <c r="C21" s="2">
        <v>11907000</v>
      </c>
      <c r="D21" s="2">
        <v>1561081.73</v>
      </c>
      <c r="E21" s="2">
        <v>10345918.27</v>
      </c>
      <c r="F21">
        <v>86.89</v>
      </c>
      <c r="H21" s="128"/>
      <c r="I21" s="2"/>
      <c r="J21" s="2"/>
      <c r="K21" s="2"/>
      <c r="L21" s="2"/>
    </row>
    <row r="22" spans="1:12">
      <c r="A22" s="128" t="s">
        <v>202</v>
      </c>
      <c r="B22" s="2">
        <v>600200</v>
      </c>
      <c r="C22" s="2">
        <v>600200</v>
      </c>
      <c r="D22" s="2">
        <v>370535.59</v>
      </c>
      <c r="E22" s="2">
        <v>229664.41</v>
      </c>
      <c r="F22">
        <v>38.26</v>
      </c>
      <c r="H22" s="128"/>
      <c r="I22" s="2"/>
      <c r="J22" s="2"/>
      <c r="K22" s="2"/>
      <c r="L22" s="2"/>
    </row>
    <row r="23" spans="1:12">
      <c r="A23" s="128" t="s">
        <v>203</v>
      </c>
      <c r="B23" s="2">
        <v>130500</v>
      </c>
      <c r="C23" s="2">
        <v>130500</v>
      </c>
      <c r="D23" s="2">
        <v>101509.94</v>
      </c>
      <c r="E23" s="2">
        <v>28990.06</v>
      </c>
      <c r="F23">
        <v>22.21</v>
      </c>
      <c r="H23" s="128"/>
      <c r="I23" s="2"/>
      <c r="J23" s="2"/>
      <c r="K23" s="2"/>
      <c r="L23" s="2"/>
    </row>
    <row r="24" spans="1:12">
      <c r="A24" s="128" t="s">
        <v>204</v>
      </c>
      <c r="B24" s="2">
        <v>116000</v>
      </c>
      <c r="C24" s="2">
        <v>116000</v>
      </c>
      <c r="D24" s="2">
        <v>87317.72</v>
      </c>
      <c r="E24" s="2">
        <v>28682.28</v>
      </c>
      <c r="F24">
        <v>24.73</v>
      </c>
      <c r="H24" s="128"/>
      <c r="I24" s="2"/>
      <c r="J24" s="2"/>
      <c r="K24" s="2"/>
      <c r="L24" s="2"/>
    </row>
    <row r="25" spans="1:12">
      <c r="A25" s="128" t="s">
        <v>205</v>
      </c>
      <c r="B25" s="2">
        <v>196900</v>
      </c>
      <c r="C25" s="2">
        <v>196900</v>
      </c>
      <c r="D25" s="2">
        <v>117731.03</v>
      </c>
      <c r="E25" s="2">
        <v>79168.97</v>
      </c>
      <c r="F25">
        <v>40.21</v>
      </c>
      <c r="H25" s="128"/>
      <c r="I25" s="2"/>
      <c r="J25" s="2"/>
      <c r="K25" s="2"/>
      <c r="L25" s="2"/>
    </row>
    <row r="26" spans="1:12">
      <c r="A26" s="128" t="s">
        <v>206</v>
      </c>
      <c r="B26" s="2">
        <v>135000</v>
      </c>
      <c r="C26" s="2">
        <v>135000</v>
      </c>
      <c r="D26" s="2">
        <v>108979</v>
      </c>
      <c r="E26" s="2">
        <v>26021</v>
      </c>
      <c r="F26">
        <v>19.27</v>
      </c>
      <c r="H26" s="128"/>
      <c r="I26" s="2"/>
      <c r="J26" s="2"/>
      <c r="K26" s="2"/>
      <c r="L26" s="2"/>
    </row>
    <row r="27" spans="1:12">
      <c r="A27" s="128" t="s">
        <v>207</v>
      </c>
      <c r="B27" s="2">
        <v>435000</v>
      </c>
      <c r="C27" s="2">
        <v>435000</v>
      </c>
      <c r="D27" s="2">
        <v>214410.23999999999</v>
      </c>
      <c r="E27" s="2">
        <v>220589.76</v>
      </c>
      <c r="F27">
        <v>50.71</v>
      </c>
      <c r="H27" s="128"/>
      <c r="I27" s="2"/>
      <c r="J27" s="2"/>
      <c r="K27" s="2"/>
      <c r="L27" s="2"/>
    </row>
    <row r="28" spans="1:12">
      <c r="A28" s="128" t="s">
        <v>208</v>
      </c>
      <c r="B28" s="2">
        <v>201500</v>
      </c>
      <c r="C28" s="2">
        <v>201500</v>
      </c>
      <c r="D28" s="2">
        <v>110277.85</v>
      </c>
      <c r="E28" s="2">
        <v>91222.15</v>
      </c>
      <c r="F28">
        <v>45.27</v>
      </c>
      <c r="H28" s="128"/>
      <c r="I28" s="2"/>
      <c r="J28" s="2"/>
      <c r="K28" s="2"/>
      <c r="L28" s="2"/>
    </row>
    <row r="29" spans="1:12">
      <c r="A29" s="128" t="s">
        <v>209</v>
      </c>
      <c r="B29" s="2">
        <v>380000</v>
      </c>
      <c r="C29" s="2">
        <v>380000</v>
      </c>
      <c r="D29" s="2">
        <v>201679.9</v>
      </c>
      <c r="E29" s="2">
        <v>178320.1</v>
      </c>
      <c r="F29">
        <v>46.93</v>
      </c>
      <c r="H29" s="128"/>
      <c r="I29" s="2"/>
      <c r="J29" s="2"/>
      <c r="K29" s="2"/>
      <c r="L29" s="2"/>
    </row>
    <row r="30" spans="1:12">
      <c r="A30" s="128" t="s">
        <v>210</v>
      </c>
      <c r="B30" s="2">
        <v>263000</v>
      </c>
      <c r="C30" s="2">
        <v>263000</v>
      </c>
      <c r="D30" s="2">
        <v>157050.19</v>
      </c>
      <c r="E30" s="2">
        <v>105949.81</v>
      </c>
      <c r="F30">
        <v>40.29</v>
      </c>
      <c r="H30" s="128"/>
      <c r="I30" s="2"/>
      <c r="J30" s="2"/>
      <c r="K30" s="2"/>
      <c r="L30" s="2"/>
    </row>
    <row r="31" spans="1:12">
      <c r="A31" s="128" t="s">
        <v>211</v>
      </c>
      <c r="B31" s="2">
        <v>22000</v>
      </c>
      <c r="C31" s="2">
        <v>22000</v>
      </c>
      <c r="D31" s="2">
        <v>13967.63</v>
      </c>
      <c r="E31" s="2">
        <v>8032.37</v>
      </c>
      <c r="F31">
        <v>36.51</v>
      </c>
      <c r="H31" s="128"/>
      <c r="I31" s="2"/>
      <c r="J31" s="2"/>
      <c r="K31" s="2"/>
      <c r="L31" s="2"/>
    </row>
    <row r="32" spans="1:12">
      <c r="A32" s="128" t="s">
        <v>6</v>
      </c>
      <c r="B32" s="2">
        <v>779885</v>
      </c>
      <c r="C32" s="2">
        <v>779885</v>
      </c>
      <c r="D32" s="2">
        <v>328412.56</v>
      </c>
      <c r="E32" s="2">
        <v>451472.44</v>
      </c>
      <c r="F32">
        <v>57.89</v>
      </c>
      <c r="H32" s="128"/>
      <c r="I32" s="2"/>
      <c r="J32" s="2"/>
      <c r="K32" s="2"/>
      <c r="L32" s="2"/>
    </row>
    <row r="33" spans="1:12">
      <c r="A33" s="128"/>
      <c r="B33" t="s">
        <v>196</v>
      </c>
      <c r="C33" t="s">
        <v>196</v>
      </c>
      <c r="D33" t="s">
        <v>196</v>
      </c>
      <c r="E33" t="s">
        <v>196</v>
      </c>
      <c r="F33" t="s">
        <v>197</v>
      </c>
      <c r="H33" s="128"/>
    </row>
    <row r="34" spans="1:12">
      <c r="A34" s="128" t="s">
        <v>212</v>
      </c>
      <c r="B34" s="2">
        <v>18821285</v>
      </c>
      <c r="C34" s="2">
        <v>18821285</v>
      </c>
      <c r="D34" s="2">
        <v>5324780.53</v>
      </c>
      <c r="E34" s="2">
        <v>13496504.470000001</v>
      </c>
      <c r="F34">
        <v>71.709999999999994</v>
      </c>
      <c r="H34" s="128"/>
      <c r="I34" s="2"/>
      <c r="J34" s="2"/>
      <c r="K34" s="2"/>
      <c r="L34" s="2"/>
    </row>
    <row r="35" spans="1:12">
      <c r="A35" s="128"/>
      <c r="B35" t="s">
        <v>196</v>
      </c>
      <c r="C35" t="s">
        <v>196</v>
      </c>
      <c r="D35" t="s">
        <v>196</v>
      </c>
      <c r="E35" t="s">
        <v>196</v>
      </c>
      <c r="F35" t="s">
        <v>197</v>
      </c>
      <c r="H35" s="128"/>
    </row>
    <row r="36" spans="1:12">
      <c r="A36" s="128" t="s">
        <v>213</v>
      </c>
      <c r="H36" s="128"/>
    </row>
    <row r="37" spans="1:12">
      <c r="A37" s="128" t="s">
        <v>200</v>
      </c>
      <c r="B37" s="2">
        <v>355100</v>
      </c>
      <c r="C37" s="2">
        <v>355100</v>
      </c>
      <c r="D37" s="2">
        <v>173265.26</v>
      </c>
      <c r="E37" s="2">
        <v>181834.74</v>
      </c>
      <c r="F37">
        <v>51.21</v>
      </c>
      <c r="H37" s="128"/>
      <c r="I37" s="2"/>
      <c r="J37" s="2"/>
      <c r="K37" s="2"/>
      <c r="L37" s="2"/>
    </row>
    <row r="38" spans="1:12">
      <c r="A38" s="128" t="s">
        <v>202</v>
      </c>
      <c r="B38" s="2">
        <v>61200</v>
      </c>
      <c r="C38" s="2">
        <v>61200</v>
      </c>
      <c r="D38" s="2">
        <v>16032.81</v>
      </c>
      <c r="E38" s="2">
        <v>45167.19</v>
      </c>
      <c r="F38">
        <v>73.8</v>
      </c>
      <c r="H38" s="128"/>
      <c r="I38" s="2"/>
      <c r="J38" s="2"/>
      <c r="K38" s="2"/>
      <c r="L38" s="2"/>
    </row>
    <row r="39" spans="1:12">
      <c r="A39" s="128" t="s">
        <v>203</v>
      </c>
      <c r="B39" s="2">
        <v>139700</v>
      </c>
      <c r="C39" s="2">
        <v>139700</v>
      </c>
      <c r="D39" s="2">
        <v>91558.2</v>
      </c>
      <c r="E39" s="2">
        <v>48141.8</v>
      </c>
      <c r="F39">
        <v>34.46</v>
      </c>
      <c r="H39" s="128"/>
      <c r="I39" s="2"/>
      <c r="J39" s="2"/>
      <c r="K39" s="2"/>
      <c r="L39" s="2"/>
    </row>
    <row r="40" spans="1:12">
      <c r="A40" s="128" t="s">
        <v>204</v>
      </c>
      <c r="B40" s="2">
        <v>233500</v>
      </c>
      <c r="C40" s="2">
        <v>233500</v>
      </c>
      <c r="D40" s="2">
        <v>123556.6</v>
      </c>
      <c r="E40" s="2">
        <v>109943.4</v>
      </c>
      <c r="F40">
        <v>47.08</v>
      </c>
      <c r="H40" s="128"/>
      <c r="I40" s="2"/>
      <c r="J40" s="2"/>
      <c r="K40" s="2"/>
      <c r="L40" s="2"/>
    </row>
    <row r="41" spans="1:12">
      <c r="A41" s="128" t="s">
        <v>205</v>
      </c>
      <c r="B41" s="2">
        <v>1100000</v>
      </c>
      <c r="C41" s="2">
        <v>1100000</v>
      </c>
      <c r="D41" s="2">
        <v>508842.15</v>
      </c>
      <c r="E41" s="2">
        <v>591157.85</v>
      </c>
      <c r="F41">
        <v>53.74</v>
      </c>
      <c r="H41" s="128"/>
      <c r="I41" s="2"/>
      <c r="J41" s="2"/>
      <c r="K41" s="2"/>
      <c r="L41" s="2"/>
    </row>
    <row r="42" spans="1:12">
      <c r="A42" s="128" t="s">
        <v>206</v>
      </c>
      <c r="B42" s="2">
        <v>520000</v>
      </c>
      <c r="C42" s="2">
        <v>520000</v>
      </c>
      <c r="D42" s="2">
        <v>248933.87</v>
      </c>
      <c r="E42" s="2">
        <v>271066.13</v>
      </c>
      <c r="F42">
        <v>52.13</v>
      </c>
      <c r="H42" s="128"/>
      <c r="I42" s="2"/>
      <c r="J42" s="2"/>
      <c r="K42" s="2"/>
      <c r="L42" s="2"/>
    </row>
    <row r="43" spans="1:12">
      <c r="A43" s="128"/>
      <c r="B43" t="s">
        <v>196</v>
      </c>
      <c r="C43" t="s">
        <v>196</v>
      </c>
      <c r="D43" t="s">
        <v>196</v>
      </c>
      <c r="E43" t="s">
        <v>196</v>
      </c>
      <c r="F43" t="s">
        <v>197</v>
      </c>
      <c r="H43" s="128"/>
    </row>
    <row r="44" spans="1:12">
      <c r="A44" s="128" t="s">
        <v>214</v>
      </c>
      <c r="B44" s="2">
        <v>2409500</v>
      </c>
      <c r="C44" s="2">
        <v>2409500</v>
      </c>
      <c r="D44" s="2">
        <v>1162188.8899999999</v>
      </c>
      <c r="E44" s="2">
        <v>1247311.1100000001</v>
      </c>
      <c r="F44">
        <v>51.77</v>
      </c>
      <c r="H44" s="128"/>
      <c r="I44" s="2"/>
      <c r="J44" s="2"/>
      <c r="K44" s="2"/>
      <c r="L44" s="2"/>
    </row>
    <row r="45" spans="1:12">
      <c r="A45" s="128"/>
      <c r="B45" t="s">
        <v>196</v>
      </c>
      <c r="C45" t="s">
        <v>196</v>
      </c>
      <c r="D45" t="s">
        <v>196</v>
      </c>
      <c r="E45" t="s">
        <v>196</v>
      </c>
      <c r="F45" t="s">
        <v>197</v>
      </c>
      <c r="H45" s="128"/>
    </row>
    <row r="46" spans="1:12">
      <c r="A46" s="128" t="s">
        <v>215</v>
      </c>
      <c r="H46" s="128"/>
    </row>
    <row r="47" spans="1:12">
      <c r="A47" s="128" t="s">
        <v>216</v>
      </c>
      <c r="B47" s="2">
        <v>14641516</v>
      </c>
      <c r="C47" s="2">
        <v>14641516</v>
      </c>
      <c r="D47" s="2">
        <v>7306451.5700000003</v>
      </c>
      <c r="E47" s="2">
        <v>7335064.4299999997</v>
      </c>
      <c r="F47">
        <v>50.1</v>
      </c>
      <c r="H47" s="128"/>
      <c r="I47" s="2"/>
      <c r="J47" s="2"/>
      <c r="K47" s="2"/>
      <c r="L47" s="2"/>
    </row>
    <row r="48" spans="1:12">
      <c r="A48" s="128" t="s">
        <v>199</v>
      </c>
      <c r="D48" s="2">
        <v>173947.5</v>
      </c>
      <c r="E48" s="2">
        <v>-173947.5</v>
      </c>
      <c r="F48" t="s">
        <v>217</v>
      </c>
      <c r="H48" s="128"/>
      <c r="K48" s="2"/>
      <c r="L48" s="2"/>
    </row>
    <row r="49" spans="1:12">
      <c r="A49" s="128" t="s">
        <v>45</v>
      </c>
      <c r="D49" s="2">
        <v>14903.2</v>
      </c>
      <c r="E49" s="2">
        <v>-14903.2</v>
      </c>
      <c r="F49" t="s">
        <v>217</v>
      </c>
      <c r="H49" s="128"/>
      <c r="K49" s="2"/>
      <c r="L49" s="2"/>
    </row>
    <row r="50" spans="1:12">
      <c r="A50" s="128" t="s">
        <v>8</v>
      </c>
      <c r="B50" s="2">
        <v>909100</v>
      </c>
      <c r="C50" s="2">
        <v>909100</v>
      </c>
      <c r="D50" s="2">
        <v>559283.69999999995</v>
      </c>
      <c r="E50" s="2">
        <v>349816.3</v>
      </c>
      <c r="F50">
        <v>38.479999999999997</v>
      </c>
      <c r="H50" s="128"/>
      <c r="I50" s="2"/>
      <c r="J50" s="2"/>
      <c r="K50" s="2"/>
      <c r="L50" s="2"/>
    </row>
    <row r="51" spans="1:12">
      <c r="A51" s="128" t="s">
        <v>6</v>
      </c>
      <c r="B51" s="2">
        <v>7027758</v>
      </c>
      <c r="C51" s="2">
        <v>7027758</v>
      </c>
      <c r="D51" s="2">
        <v>2797639.45</v>
      </c>
      <c r="E51" s="2">
        <v>4230118.55</v>
      </c>
      <c r="F51">
        <v>60.19</v>
      </c>
      <c r="H51" s="128"/>
      <c r="I51" s="2"/>
      <c r="J51" s="2"/>
      <c r="K51" s="2"/>
      <c r="L51" s="2"/>
    </row>
    <row r="52" spans="1:12">
      <c r="A52" s="128"/>
      <c r="B52" t="s">
        <v>196</v>
      </c>
      <c r="C52" t="s">
        <v>196</v>
      </c>
      <c r="D52" t="s">
        <v>196</v>
      </c>
      <c r="E52" t="s">
        <v>196</v>
      </c>
      <c r="F52" t="s">
        <v>197</v>
      </c>
      <c r="H52" s="128"/>
    </row>
    <row r="53" spans="1:12">
      <c r="A53" s="128" t="s">
        <v>218</v>
      </c>
      <c r="B53" s="2">
        <v>22578374</v>
      </c>
      <c r="C53" s="2">
        <v>22578374</v>
      </c>
      <c r="D53" s="2">
        <v>10852225.42</v>
      </c>
      <c r="E53" s="2">
        <v>11726148.58</v>
      </c>
      <c r="F53">
        <v>51.94</v>
      </c>
      <c r="H53" s="128"/>
      <c r="I53" s="2"/>
      <c r="J53" s="2"/>
      <c r="K53" s="2"/>
      <c r="L53" s="2"/>
    </row>
    <row r="54" spans="1:12">
      <c r="A54" s="128"/>
      <c r="B54" t="s">
        <v>196</v>
      </c>
      <c r="C54" t="s">
        <v>196</v>
      </c>
      <c r="D54" t="s">
        <v>196</v>
      </c>
      <c r="E54" t="s">
        <v>196</v>
      </c>
      <c r="F54" t="s">
        <v>197</v>
      </c>
      <c r="H54" s="128"/>
    </row>
    <row r="55" spans="1:12">
      <c r="A55" s="128" t="s">
        <v>9</v>
      </c>
      <c r="H55" s="128"/>
    </row>
    <row r="56" spans="1:12">
      <c r="A56" s="128" t="s">
        <v>219</v>
      </c>
      <c r="B56" s="105">
        <v>70000</v>
      </c>
      <c r="C56" s="105">
        <v>70000</v>
      </c>
      <c r="D56" s="105"/>
      <c r="E56" s="105">
        <v>70000</v>
      </c>
      <c r="F56">
        <v>100</v>
      </c>
      <c r="H56" s="128"/>
      <c r="I56" s="2"/>
      <c r="J56" s="2"/>
      <c r="L56" s="2"/>
    </row>
    <row r="57" spans="1:12">
      <c r="A57" s="128" t="s">
        <v>220</v>
      </c>
      <c r="B57" s="105">
        <v>3599310</v>
      </c>
      <c r="C57" s="105">
        <v>3711810</v>
      </c>
      <c r="D57" s="105">
        <v>-2359090.29</v>
      </c>
      <c r="E57" s="105">
        <v>6070900.29</v>
      </c>
      <c r="F57">
        <v>163.56</v>
      </c>
      <c r="H57" s="128"/>
      <c r="I57" s="2"/>
      <c r="J57" s="2"/>
      <c r="K57" s="2"/>
      <c r="L57" s="2"/>
    </row>
    <row r="58" spans="1:12">
      <c r="A58" s="128" t="s">
        <v>173</v>
      </c>
      <c r="C58" t="s">
        <v>22</v>
      </c>
      <c r="E58" t="s">
        <v>468</v>
      </c>
      <c r="F58" t="s">
        <v>469</v>
      </c>
      <c r="H58" s="128"/>
    </row>
    <row r="59" spans="1:12">
      <c r="A59" s="128"/>
      <c r="B59" t="s">
        <v>176</v>
      </c>
      <c r="C59" t="s">
        <v>177</v>
      </c>
      <c r="F59" t="s">
        <v>221</v>
      </c>
      <c r="H59" s="128"/>
    </row>
    <row r="60" spans="1:12">
      <c r="A60" s="128"/>
      <c r="B60" t="s">
        <v>179</v>
      </c>
      <c r="C60" t="s">
        <v>467</v>
      </c>
      <c r="H60" s="128"/>
    </row>
    <row r="61" spans="1:12">
      <c r="A61" s="128"/>
      <c r="H61" s="128"/>
    </row>
    <row r="62" spans="1:12">
      <c r="A62" s="128" t="s">
        <v>180</v>
      </c>
      <c r="H62" s="128"/>
    </row>
    <row r="63" spans="1:12">
      <c r="A63" s="128" t="s">
        <v>181</v>
      </c>
      <c r="B63" t="s">
        <v>182</v>
      </c>
      <c r="C63" t="s">
        <v>183</v>
      </c>
      <c r="D63" t="s">
        <v>184</v>
      </c>
      <c r="H63" s="128"/>
    </row>
    <row r="64" spans="1:12">
      <c r="A64" s="128"/>
      <c r="B64" t="s">
        <v>185</v>
      </c>
      <c r="C64" t="s">
        <v>186</v>
      </c>
      <c r="D64" t="s">
        <v>0</v>
      </c>
      <c r="E64" t="s">
        <v>187</v>
      </c>
      <c r="F64" t="s">
        <v>188</v>
      </c>
      <c r="H64" s="128"/>
    </row>
    <row r="65" spans="1:12">
      <c r="A65" s="128"/>
      <c r="B65" t="s">
        <v>189</v>
      </c>
      <c r="C65" t="s">
        <v>189</v>
      </c>
      <c r="E65" t="s">
        <v>190</v>
      </c>
      <c r="F65" t="s">
        <v>191</v>
      </c>
      <c r="H65" s="128"/>
    </row>
    <row r="66" spans="1:12">
      <c r="A66" s="128"/>
      <c r="B66" t="s">
        <v>196</v>
      </c>
      <c r="C66" t="s">
        <v>196</v>
      </c>
      <c r="D66" t="s">
        <v>196</v>
      </c>
      <c r="E66" t="s">
        <v>196</v>
      </c>
      <c r="F66" t="s">
        <v>197</v>
      </c>
      <c r="H66" s="128"/>
    </row>
    <row r="67" spans="1:12">
      <c r="A67" s="128" t="s">
        <v>222</v>
      </c>
      <c r="B67" s="2">
        <v>3669310</v>
      </c>
      <c r="C67" s="2">
        <v>3781810</v>
      </c>
      <c r="D67" s="2">
        <v>-2359090.29</v>
      </c>
      <c r="E67" s="2">
        <v>6140900.29</v>
      </c>
      <c r="F67">
        <v>162.38</v>
      </c>
      <c r="H67" s="128"/>
      <c r="I67" s="2"/>
      <c r="J67" s="2"/>
      <c r="K67" s="2"/>
      <c r="L67" s="2"/>
    </row>
    <row r="68" spans="1:12">
      <c r="A68" s="128"/>
      <c r="B68" t="s">
        <v>196</v>
      </c>
      <c r="C68" t="s">
        <v>196</v>
      </c>
      <c r="D68" t="s">
        <v>196</v>
      </c>
      <c r="E68" t="s">
        <v>196</v>
      </c>
      <c r="F68" t="s">
        <v>197</v>
      </c>
      <c r="H68" s="128"/>
    </row>
    <row r="69" spans="1:12">
      <c r="A69" s="128" t="s">
        <v>223</v>
      </c>
      <c r="H69" s="128"/>
    </row>
    <row r="70" spans="1:12">
      <c r="A70" s="128" t="s">
        <v>224</v>
      </c>
      <c r="B70" s="2">
        <v>13850315</v>
      </c>
      <c r="C70" s="2">
        <v>13850315</v>
      </c>
      <c r="D70" s="2">
        <v>7511601.9900000002</v>
      </c>
      <c r="E70" s="2">
        <v>6338713.0099999998</v>
      </c>
      <c r="F70">
        <v>45.77</v>
      </c>
      <c r="H70" s="128"/>
      <c r="I70" s="2"/>
      <c r="J70" s="2"/>
      <c r="K70" s="2"/>
      <c r="L70" s="2"/>
    </row>
    <row r="71" spans="1:12">
      <c r="A71" s="128" t="s">
        <v>6</v>
      </c>
      <c r="B71" s="2">
        <v>166200</v>
      </c>
      <c r="C71" s="2">
        <v>166824</v>
      </c>
      <c r="D71" s="2">
        <v>1093650.74</v>
      </c>
      <c r="E71" s="2">
        <v>-926826.74</v>
      </c>
      <c r="F71">
        <v>-555.57000000000005</v>
      </c>
      <c r="H71" s="128"/>
      <c r="I71" s="2"/>
      <c r="J71" s="2"/>
      <c r="K71" s="2"/>
      <c r="L71" s="2"/>
    </row>
    <row r="72" spans="1:12">
      <c r="A72" s="128" t="s">
        <v>225</v>
      </c>
      <c r="B72" s="2">
        <v>100000</v>
      </c>
      <c r="C72" s="2">
        <v>100000</v>
      </c>
      <c r="D72" s="2">
        <v>22948</v>
      </c>
      <c r="E72" s="2">
        <v>77052</v>
      </c>
      <c r="F72">
        <v>77.05</v>
      </c>
      <c r="H72" s="128"/>
      <c r="I72" s="2"/>
      <c r="J72" s="2"/>
      <c r="K72" s="2"/>
      <c r="L72" s="2"/>
    </row>
    <row r="73" spans="1:12">
      <c r="A73" s="128" t="s">
        <v>226</v>
      </c>
    </row>
    <row r="74" spans="1:12">
      <c r="A74" s="128" t="s">
        <v>227</v>
      </c>
      <c r="B74" s="2">
        <v>417219</v>
      </c>
      <c r="C74" s="2">
        <v>417219</v>
      </c>
      <c r="E74" s="2">
        <v>417219</v>
      </c>
      <c r="F74">
        <v>100</v>
      </c>
      <c r="H74" s="128"/>
      <c r="I74" s="2"/>
      <c r="J74" s="2"/>
      <c r="L74" s="2"/>
    </row>
    <row r="75" spans="1:12">
      <c r="A75" s="128"/>
      <c r="B75" t="s">
        <v>196</v>
      </c>
      <c r="C75" t="s">
        <v>196</v>
      </c>
      <c r="D75" t="s">
        <v>196</v>
      </c>
      <c r="E75" t="s">
        <v>196</v>
      </c>
      <c r="F75" t="s">
        <v>197</v>
      </c>
      <c r="H75" s="128"/>
    </row>
    <row r="76" spans="1:12">
      <c r="A76" s="128" t="s">
        <v>228</v>
      </c>
      <c r="B76" s="2">
        <v>14533734</v>
      </c>
      <c r="C76" s="2">
        <v>14534358</v>
      </c>
      <c r="D76" s="2">
        <v>8628200.7300000004</v>
      </c>
      <c r="E76" s="2">
        <v>5906157.2699999996</v>
      </c>
      <c r="F76">
        <v>40.64</v>
      </c>
      <c r="H76" s="128"/>
      <c r="I76" s="2"/>
      <c r="J76" s="2"/>
      <c r="K76" s="2"/>
      <c r="L76" s="2"/>
    </row>
    <row r="77" spans="1:12">
      <c r="A77" s="128"/>
      <c r="B77" t="s">
        <v>196</v>
      </c>
      <c r="C77" t="s">
        <v>196</v>
      </c>
      <c r="D77" t="s">
        <v>196</v>
      </c>
      <c r="E77" t="s">
        <v>196</v>
      </c>
      <c r="F77" t="s">
        <v>197</v>
      </c>
      <c r="H77" s="128"/>
    </row>
    <row r="78" spans="1:12">
      <c r="A78" s="128"/>
      <c r="B78" t="s">
        <v>196</v>
      </c>
      <c r="C78" t="s">
        <v>196</v>
      </c>
      <c r="D78" t="s">
        <v>196</v>
      </c>
      <c r="E78" t="s">
        <v>196</v>
      </c>
      <c r="F78" t="s">
        <v>197</v>
      </c>
      <c r="H78" s="128"/>
    </row>
    <row r="79" spans="1:12">
      <c r="A79" s="128" t="s">
        <v>229</v>
      </c>
      <c r="B79" s="2">
        <v>370087992</v>
      </c>
      <c r="C79" s="2">
        <v>370201116</v>
      </c>
      <c r="D79" s="2">
        <v>328052815.81</v>
      </c>
      <c r="E79" s="2">
        <v>42148300.189999998</v>
      </c>
      <c r="F79">
        <v>11.39</v>
      </c>
      <c r="H79" s="128"/>
      <c r="I79" s="2"/>
      <c r="J79" s="2"/>
      <c r="K79" s="2"/>
      <c r="L79" s="2"/>
    </row>
    <row r="80" spans="1:12">
      <c r="A80" s="128"/>
      <c r="B80" t="s">
        <v>230</v>
      </c>
      <c r="C80" t="s">
        <v>230</v>
      </c>
      <c r="D80" t="s">
        <v>230</v>
      </c>
      <c r="E80" t="s">
        <v>230</v>
      </c>
      <c r="F80" t="s">
        <v>231</v>
      </c>
      <c r="H80" s="128"/>
    </row>
    <row r="81" spans="1:8">
      <c r="A81" s="128" t="s">
        <v>173</v>
      </c>
      <c r="H81" s="1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S107"/>
  <sheetViews>
    <sheetView zoomScale="130" zoomScaleNormal="130" workbookViewId="0"/>
  </sheetViews>
  <sheetFormatPr defaultColWidth="9.109375" defaultRowHeight="13.2"/>
  <cols>
    <col min="1" max="1" width="2.5546875" customWidth="1"/>
    <col min="2" max="2" width="1.6640625" customWidth="1"/>
    <col min="3" max="3" width="1" customWidth="1"/>
    <col min="4" max="4" width="1.6640625" customWidth="1"/>
    <col min="5" max="5" width="27.6640625" customWidth="1"/>
    <col min="6" max="6" width="16.109375" style="14" bestFit="1" customWidth="1"/>
    <col min="7" max="7" width="0.88671875" style="14" customWidth="1"/>
    <col min="8" max="8" width="16.33203125" style="14" bestFit="1" customWidth="1"/>
    <col min="9" max="9" width="0.6640625" style="14" customWidth="1"/>
    <col min="10" max="10" width="16" style="14" bestFit="1" customWidth="1"/>
    <col min="11" max="11" width="1" customWidth="1"/>
    <col min="12" max="12" width="16.109375" bestFit="1" customWidth="1"/>
    <col min="13" max="13" width="1" customWidth="1"/>
    <col min="14" max="14" width="10.88671875" customWidth="1"/>
    <col min="15" max="15" width="2.6640625" customWidth="1"/>
  </cols>
  <sheetData>
    <row r="1" spans="1:15">
      <c r="A1" t="str" cm="1">
        <f t="array" aca="1" ref="A1" ca="1">CELL("filename")</f>
        <v>C:\Users\nzinsmeyer\AppData\Local\Microsoft\Windows\INetCache\Content.Outlook\NZ8NN1ME\[Mar 26 FINANCIAL REPORT unaudited_UPDATED.xlsx]R&amp;B and Debt Svc</v>
      </c>
    </row>
    <row r="3" spans="1:15" s="5" customFormat="1" ht="17.399999999999999">
      <c r="B3" s="141" t="s">
        <v>22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" t="s">
        <v>43</v>
      </c>
    </row>
    <row r="4" spans="1:15">
      <c r="B4" s="140" t="s">
        <v>30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" t="s">
        <v>43</v>
      </c>
    </row>
    <row r="5" spans="1:15" ht="13.95" customHeight="1">
      <c r="B5" s="140" t="str">
        <f>+'GF REPORT REV'!B6:N6</f>
        <v xml:space="preserve"> AS OF March 31, 2026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" t="s">
        <v>43</v>
      </c>
    </row>
    <row r="6" spans="1:15" s="66" customFormat="1" ht="10.95" customHeight="1">
      <c r="B6" s="138" t="s">
        <v>39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" t="s">
        <v>43</v>
      </c>
    </row>
    <row r="7" spans="1:15" ht="42.75" customHeight="1">
      <c r="F7" s="9" t="s">
        <v>23</v>
      </c>
      <c r="G7" s="9"/>
      <c r="H7" s="9" t="s">
        <v>24</v>
      </c>
      <c r="I7" s="9"/>
      <c r="J7" s="10" t="s">
        <v>11</v>
      </c>
      <c r="K7" s="9"/>
      <c r="L7" s="10" t="s">
        <v>12</v>
      </c>
      <c r="M7" s="10"/>
      <c r="N7" s="10" t="s">
        <v>13</v>
      </c>
      <c r="O7" s="1" t="s">
        <v>43</v>
      </c>
    </row>
    <row r="8" spans="1:15">
      <c r="B8" s="1" t="s">
        <v>10</v>
      </c>
      <c r="O8" s="1" t="s">
        <v>43</v>
      </c>
    </row>
    <row r="9" spans="1:15">
      <c r="C9" s="14" t="s">
        <v>82</v>
      </c>
      <c r="D9" s="1"/>
      <c r="O9" s="1" t="s">
        <v>43</v>
      </c>
    </row>
    <row r="10" spans="1:15">
      <c r="D10" s="14" t="s">
        <v>83</v>
      </c>
      <c r="F10" s="57">
        <f>+'GF REPORT EXP-SUP'!B12</f>
        <v>555861.91</v>
      </c>
      <c r="G10" s="57"/>
      <c r="H10" s="116">
        <f>+'GF REPORT EXP-SUP'!D12</f>
        <v>508813.89</v>
      </c>
      <c r="I10" s="126">
        <f>+'GF REPORT EXP-SUP'!E12</f>
        <v>0</v>
      </c>
      <c r="J10" s="116">
        <f>+'GF REPORT EXP-SUP'!F12</f>
        <v>202982.87</v>
      </c>
      <c r="K10" s="69"/>
      <c r="L10" s="70">
        <f t="shared" ref="L10:L29" si="0">H10-J10</f>
        <v>305831.02</v>
      </c>
      <c r="N10" s="81">
        <f t="shared" ref="N10:N27" si="1">IF(H10,L10/H10,0)</f>
        <v>0.60106657072588965</v>
      </c>
      <c r="O10" s="1" t="s">
        <v>43</v>
      </c>
    </row>
    <row r="11" spans="1:15">
      <c r="D11" s="14" t="s">
        <v>156</v>
      </c>
      <c r="F11" s="105">
        <f>+'GF REPORT EXP-SUP'!B13</f>
        <v>989972.41</v>
      </c>
      <c r="G11" s="105"/>
      <c r="H11" s="117">
        <f>+'GF REPORT EXP-SUP'!D13</f>
        <v>1001251.37</v>
      </c>
      <c r="I11" s="117">
        <f>+'GF REPORT EXP-SUP'!E13</f>
        <v>0</v>
      </c>
      <c r="J11" s="117">
        <f>+'GF REPORT EXP-SUP'!F13</f>
        <v>415401.29</v>
      </c>
      <c r="K11" s="105"/>
      <c r="L11" s="105">
        <f t="shared" ref="L11" si="2">H11-J11</f>
        <v>585850.08000000007</v>
      </c>
      <c r="N11" s="81">
        <f t="shared" si="1"/>
        <v>0.58511788103720652</v>
      </c>
      <c r="O11" s="1"/>
    </row>
    <row r="12" spans="1:15">
      <c r="D12" t="s">
        <v>84</v>
      </c>
      <c r="F12" s="105">
        <f>+'GF REPORT EXP-SUP'!B14</f>
        <v>434044.46</v>
      </c>
      <c r="G12" s="105"/>
      <c r="H12" s="117">
        <f>+'GF REPORT EXP-SUP'!D14</f>
        <v>434062.44</v>
      </c>
      <c r="I12" s="117">
        <f>+'GF REPORT EXP-SUP'!E14</f>
        <v>0</v>
      </c>
      <c r="J12" s="117">
        <f>+'GF REPORT EXP-SUP'!F14</f>
        <v>194453.63</v>
      </c>
      <c r="K12" s="105"/>
      <c r="L12" s="105">
        <f t="shared" si="0"/>
        <v>239608.81</v>
      </c>
      <c r="N12" s="81">
        <f t="shared" si="1"/>
        <v>0.55201461338142965</v>
      </c>
      <c r="O12" s="1" t="s">
        <v>43</v>
      </c>
    </row>
    <row r="13" spans="1:15">
      <c r="D13" t="s">
        <v>85</v>
      </c>
      <c r="F13" s="105">
        <f>+'GF REPORT EXP-SUP'!B15</f>
        <v>442151.64</v>
      </c>
      <c r="G13" s="105"/>
      <c r="H13" s="117">
        <f>+'GF REPORT EXP-SUP'!D15</f>
        <v>442165.23</v>
      </c>
      <c r="I13" s="117">
        <f>+'GF REPORT EXP-SUP'!E15</f>
        <v>0</v>
      </c>
      <c r="J13" s="117">
        <f>+'GF REPORT EXP-SUP'!F15</f>
        <v>199741.2</v>
      </c>
      <c r="K13" s="105"/>
      <c r="L13" s="105">
        <f t="shared" si="0"/>
        <v>242424.02999999997</v>
      </c>
      <c r="N13" s="81">
        <f t="shared" si="1"/>
        <v>0.54826570148901121</v>
      </c>
      <c r="O13" s="1" t="s">
        <v>43</v>
      </c>
    </row>
    <row r="14" spans="1:15">
      <c r="D14" t="s">
        <v>86</v>
      </c>
      <c r="F14" s="105">
        <f>+'GF REPORT EXP-SUP'!B16</f>
        <v>445488.18</v>
      </c>
      <c r="G14" s="105"/>
      <c r="H14" s="117">
        <f>+'GF REPORT EXP-SUP'!D16</f>
        <v>445509.95</v>
      </c>
      <c r="I14" s="117">
        <f>+'GF REPORT EXP-SUP'!E16</f>
        <v>0</v>
      </c>
      <c r="J14" s="117">
        <f>+'GF REPORT EXP-SUP'!F16</f>
        <v>200777.12</v>
      </c>
      <c r="K14" s="105"/>
      <c r="L14" s="105">
        <f t="shared" si="0"/>
        <v>244732.83000000002</v>
      </c>
      <c r="N14" s="81">
        <f t="shared" si="1"/>
        <v>0.54933190605507243</v>
      </c>
      <c r="O14" s="1" t="s">
        <v>43</v>
      </c>
    </row>
    <row r="15" spans="1:15">
      <c r="D15" t="s">
        <v>87</v>
      </c>
      <c r="F15" s="105">
        <f>+'GF REPORT EXP-SUP'!B17</f>
        <v>400684.82</v>
      </c>
      <c r="G15" s="105"/>
      <c r="H15" s="117">
        <f>+'GF REPORT EXP-SUP'!D17</f>
        <v>400705.91</v>
      </c>
      <c r="I15" s="117">
        <f>+'GF REPORT EXP-SUP'!E17</f>
        <v>0</v>
      </c>
      <c r="J15" s="117">
        <f>+'GF REPORT EXP-SUP'!F17</f>
        <v>177632.57</v>
      </c>
      <c r="K15" s="105"/>
      <c r="L15" s="105">
        <f t="shared" si="0"/>
        <v>223073.33999999997</v>
      </c>
      <c r="N15" s="81">
        <f t="shared" si="1"/>
        <v>0.55670089817242774</v>
      </c>
      <c r="O15" s="1" t="s">
        <v>43</v>
      </c>
    </row>
    <row r="16" spans="1:15">
      <c r="D16" s="14" t="s">
        <v>50</v>
      </c>
      <c r="F16" s="105">
        <f>+'GF REPORT EXP-SUP'!B18</f>
        <v>1049491.9099999999</v>
      </c>
      <c r="G16" s="105"/>
      <c r="H16" s="117">
        <f>+'GF REPORT EXP-SUP'!D18</f>
        <v>1017058.15</v>
      </c>
      <c r="I16" s="117">
        <f>+'GF REPORT EXP-SUP'!E18</f>
        <v>0</v>
      </c>
      <c r="J16" s="117">
        <f>+'GF REPORT EXP-SUP'!F18</f>
        <v>418880.09</v>
      </c>
      <c r="K16" s="105"/>
      <c r="L16" s="105">
        <f t="shared" si="0"/>
        <v>598178.06000000006</v>
      </c>
      <c r="N16" s="81">
        <f t="shared" si="1"/>
        <v>0.58814538775388614</v>
      </c>
      <c r="O16" s="1" t="s">
        <v>43</v>
      </c>
    </row>
    <row r="17" spans="4:15">
      <c r="D17" s="14" t="s">
        <v>88</v>
      </c>
      <c r="F17" s="105">
        <f>+'GF REPORT EXP-SUP'!B19</f>
        <v>82995965.439999998</v>
      </c>
      <c r="G17" s="105"/>
      <c r="H17" s="117">
        <f>+'GF REPORT EXP-SUP'!D19</f>
        <v>148276165.53999999</v>
      </c>
      <c r="I17" s="117">
        <f>+'GF REPORT EXP-SUP'!E19</f>
        <v>0</v>
      </c>
      <c r="J17" s="117">
        <f>+'GF REPORT EXP-SUP'!F19</f>
        <v>36037608.520000003</v>
      </c>
      <c r="K17" s="105"/>
      <c r="L17" s="105">
        <f t="shared" si="0"/>
        <v>112238557.01999998</v>
      </c>
      <c r="N17" s="81">
        <f t="shared" si="1"/>
        <v>0.75695616089911455</v>
      </c>
      <c r="O17" s="1" t="s">
        <v>43</v>
      </c>
    </row>
    <row r="18" spans="4:15">
      <c r="D18" s="14" t="s">
        <v>89</v>
      </c>
      <c r="F18" s="105">
        <f>+'GF REPORT EXP-SUP'!B20</f>
        <v>4191718.14</v>
      </c>
      <c r="G18" s="105"/>
      <c r="H18" s="117">
        <f>+'GF REPORT EXP-SUP'!D20</f>
        <v>4191939.71</v>
      </c>
      <c r="I18" s="117">
        <f>+'GF REPORT EXP-SUP'!E20</f>
        <v>0</v>
      </c>
      <c r="J18" s="117">
        <f>+'GF REPORT EXP-SUP'!F20</f>
        <v>1759347.48</v>
      </c>
      <c r="K18" s="105"/>
      <c r="L18" s="105">
        <f t="shared" si="0"/>
        <v>2432592.23</v>
      </c>
      <c r="N18" s="81">
        <f t="shared" si="1"/>
        <v>0.5803022939945861</v>
      </c>
      <c r="O18" s="1" t="s">
        <v>43</v>
      </c>
    </row>
    <row r="19" spans="4:15">
      <c r="D19" s="128" t="s">
        <v>450</v>
      </c>
      <c r="F19" s="105">
        <f>+'GF REPORT EXP-SUP'!B21</f>
        <v>578368.05000000005</v>
      </c>
      <c r="G19" s="105"/>
      <c r="H19" s="117">
        <f>+'GF REPORT EXP-SUP'!D21</f>
        <v>584343.84</v>
      </c>
      <c r="I19" s="117">
        <f>+'GF REPORT EXP-SUP'!E21</f>
        <v>0</v>
      </c>
      <c r="J19" s="117">
        <f>+'GF REPORT EXP-SUP'!F21</f>
        <v>239822.58</v>
      </c>
      <c r="K19" s="105"/>
      <c r="L19" s="105">
        <f t="shared" ref="L19" si="3">H19-J19</f>
        <v>344521.26</v>
      </c>
      <c r="N19" s="81">
        <f t="shared" ref="N19" si="4">IF(H19,L19/H19,0)</f>
        <v>0.58958653521529381</v>
      </c>
      <c r="O19" s="1"/>
    </row>
    <row r="20" spans="4:15">
      <c r="D20" s="14" t="s">
        <v>90</v>
      </c>
      <c r="F20" s="105">
        <f>+'GF REPORT EXP-SUP'!B22</f>
        <v>729108.21</v>
      </c>
      <c r="G20" s="105"/>
      <c r="H20" s="117">
        <f>+'GF REPORT EXP-SUP'!D22</f>
        <v>729130.23</v>
      </c>
      <c r="I20" s="117">
        <f>+'GF REPORT EXP-SUP'!E22</f>
        <v>0</v>
      </c>
      <c r="J20" s="117">
        <f>+'GF REPORT EXP-SUP'!F22</f>
        <v>301673.46000000002</v>
      </c>
      <c r="K20" s="105"/>
      <c r="L20" s="105">
        <f t="shared" si="0"/>
        <v>427456.76999999996</v>
      </c>
      <c r="N20" s="81">
        <f t="shared" si="1"/>
        <v>0.58625572279454108</v>
      </c>
      <c r="O20" s="1" t="s">
        <v>43</v>
      </c>
    </row>
    <row r="21" spans="4:15">
      <c r="D21" s="14" t="s">
        <v>142</v>
      </c>
      <c r="F21" s="105">
        <f>+'GF REPORT EXP-SUP'!B23</f>
        <v>698663.32</v>
      </c>
      <c r="G21" s="105"/>
      <c r="H21" s="117">
        <f>+'GF REPORT EXP-SUP'!D23</f>
        <v>703427.01</v>
      </c>
      <c r="I21" s="117">
        <f>+'GF REPORT EXP-SUP'!E23</f>
        <v>0</v>
      </c>
      <c r="J21" s="117">
        <f>+'GF REPORT EXP-SUP'!F23</f>
        <v>309273.96999999997</v>
      </c>
      <c r="K21" s="105"/>
      <c r="L21" s="105">
        <f>H21-J21</f>
        <v>394153.04000000004</v>
      </c>
      <c r="N21" s="81">
        <f t="shared" si="1"/>
        <v>0.56033253542538841</v>
      </c>
      <c r="O21" s="1" t="s">
        <v>43</v>
      </c>
    </row>
    <row r="22" spans="4:15">
      <c r="D22" s="14" t="s">
        <v>91</v>
      </c>
      <c r="F22" s="105">
        <f>+'GF REPORT EXP-SUP'!B24</f>
        <v>6063453.4500000002</v>
      </c>
      <c r="G22" s="105"/>
      <c r="H22" s="117">
        <f>+'GF REPORT EXP-SUP'!D24</f>
        <v>6063731.9100000001</v>
      </c>
      <c r="I22" s="117">
        <f>+'GF REPORT EXP-SUP'!E24</f>
        <v>0</v>
      </c>
      <c r="J22" s="117">
        <f>+'GF REPORT EXP-SUP'!F24</f>
        <v>2734008.3199999998</v>
      </c>
      <c r="K22" s="105"/>
      <c r="L22" s="105">
        <f t="shared" si="0"/>
        <v>3329723.5900000003</v>
      </c>
      <c r="N22" s="81">
        <f t="shared" si="1"/>
        <v>0.54912117478491895</v>
      </c>
      <c r="O22" s="1" t="s">
        <v>43</v>
      </c>
    </row>
    <row r="23" spans="4:15">
      <c r="D23" s="14" t="s">
        <v>143</v>
      </c>
      <c r="F23" s="105">
        <f>+'GF REPORT EXP-SUP'!B25</f>
        <v>423575.19</v>
      </c>
      <c r="G23" s="105"/>
      <c r="H23" s="117">
        <f>+'GF REPORT EXP-SUP'!D25</f>
        <v>406783.22</v>
      </c>
      <c r="I23" s="117">
        <f>+'GF REPORT EXP-SUP'!E25</f>
        <v>0</v>
      </c>
      <c r="J23" s="117">
        <f>+'GF REPORT EXP-SUP'!F25</f>
        <v>180790.64</v>
      </c>
      <c r="K23" s="105"/>
      <c r="L23" s="105">
        <f t="shared" si="0"/>
        <v>225992.57999999996</v>
      </c>
      <c r="N23" s="81">
        <f t="shared" si="1"/>
        <v>0.5555602318109385</v>
      </c>
      <c r="O23" s="1" t="s">
        <v>43</v>
      </c>
    </row>
    <row r="24" spans="4:15">
      <c r="D24" s="14" t="s">
        <v>92</v>
      </c>
      <c r="F24" s="105">
        <f>+'GF REPORT EXP-SUP'!B26</f>
        <v>23643885.309999999</v>
      </c>
      <c r="G24" s="105"/>
      <c r="H24" s="117">
        <f>+'GF REPORT EXP-SUP'!D26</f>
        <v>23693148.550000001</v>
      </c>
      <c r="I24" s="117">
        <f>+'GF REPORT EXP-SUP'!E26</f>
        <v>0</v>
      </c>
      <c r="J24" s="117">
        <f>+'GF REPORT EXP-SUP'!F26</f>
        <v>13784107.74</v>
      </c>
      <c r="K24" s="105"/>
      <c r="L24" s="105">
        <f t="shared" si="0"/>
        <v>9909040.8100000005</v>
      </c>
      <c r="N24" s="81">
        <f t="shared" si="1"/>
        <v>0.41822389240876134</v>
      </c>
      <c r="O24" s="1" t="s">
        <v>43</v>
      </c>
    </row>
    <row r="25" spans="4:15">
      <c r="D25" t="s">
        <v>27</v>
      </c>
      <c r="F25" s="105">
        <f>+'GF REPORT EXP-SUP'!B27</f>
        <v>23586194.57</v>
      </c>
      <c r="G25" s="105"/>
      <c r="H25" s="117">
        <f>+'GF REPORT EXP-SUP'!D27</f>
        <v>23558170.59</v>
      </c>
      <c r="I25" s="117">
        <f>+'GF REPORT EXP-SUP'!E27</f>
        <v>0</v>
      </c>
      <c r="J25" s="117">
        <f>+'GF REPORT EXP-SUP'!F27</f>
        <v>15177930.800000001</v>
      </c>
      <c r="K25" s="105"/>
      <c r="L25" s="105">
        <f t="shared" si="0"/>
        <v>8380239.7899999991</v>
      </c>
      <c r="N25" s="81">
        <f t="shared" si="1"/>
        <v>0.35572540567123889</v>
      </c>
      <c r="O25" s="1" t="s">
        <v>43</v>
      </c>
    </row>
    <row r="26" spans="4:15">
      <c r="D26" s="14" t="s">
        <v>93</v>
      </c>
      <c r="F26" s="105">
        <f>+'GF REPORT EXP-SUP'!B28</f>
        <v>1745999.63</v>
      </c>
      <c r="G26" s="105"/>
      <c r="H26" s="117">
        <f>+'GF REPORT EXP-SUP'!D28</f>
        <v>1750166.5</v>
      </c>
      <c r="I26" s="117">
        <f>+'GF REPORT EXP-SUP'!E28</f>
        <v>0</v>
      </c>
      <c r="J26" s="117">
        <f>+'GF REPORT EXP-SUP'!F28</f>
        <v>788607.49</v>
      </c>
      <c r="K26" s="105"/>
      <c r="L26" s="105">
        <f t="shared" si="0"/>
        <v>961559.01</v>
      </c>
      <c r="N26" s="81">
        <f t="shared" si="1"/>
        <v>0.54941001898962183</v>
      </c>
      <c r="O26" s="1" t="s">
        <v>43</v>
      </c>
    </row>
    <row r="27" spans="4:15">
      <c r="D27" s="14" t="s">
        <v>94</v>
      </c>
      <c r="F27" s="105">
        <f>+'GF REPORT EXP-SUP'!B29</f>
        <v>3556650.81</v>
      </c>
      <c r="G27" s="105"/>
      <c r="H27" s="117">
        <f>+'GF REPORT EXP-SUP'!D29</f>
        <v>3560319.56</v>
      </c>
      <c r="I27" s="117">
        <f>+'GF REPORT EXP-SUP'!E29</f>
        <v>0</v>
      </c>
      <c r="J27" s="117">
        <f>+'GF REPORT EXP-SUP'!F29</f>
        <v>2045521.57</v>
      </c>
      <c r="K27" s="105"/>
      <c r="L27" s="105">
        <f t="shared" si="0"/>
        <v>1514797.99</v>
      </c>
      <c r="N27" s="81">
        <f t="shared" si="1"/>
        <v>0.42546686174428677</v>
      </c>
      <c r="O27" s="1" t="s">
        <v>43</v>
      </c>
    </row>
    <row r="28" spans="4:15">
      <c r="D28" s="14" t="s">
        <v>164</v>
      </c>
      <c r="F28" s="105">
        <f>+'GF REPORT EXP-SUP'!B30</f>
        <v>652593.75</v>
      </c>
      <c r="G28" s="105"/>
      <c r="H28" s="117">
        <f>+'GF REPORT EXP-SUP'!D30</f>
        <v>655683.46</v>
      </c>
      <c r="I28" s="117">
        <f>+'GF REPORT EXP-SUP'!E30</f>
        <v>0</v>
      </c>
      <c r="J28" s="117">
        <f>+'GF REPORT EXP-SUP'!F30</f>
        <v>256487.92</v>
      </c>
      <c r="K28" s="105"/>
      <c r="L28" s="105">
        <f t="shared" ref="L28" si="5">H28-J28</f>
        <v>399195.53999999992</v>
      </c>
      <c r="N28" s="81">
        <f t="shared" ref="N28:N29" si="6">IF(H28,L28/H28,0)</f>
        <v>0.60882356251597369</v>
      </c>
      <c r="O28" s="1"/>
    </row>
    <row r="29" spans="4:15">
      <c r="D29" t="s">
        <v>20</v>
      </c>
      <c r="F29" s="105">
        <f>+'GF REPORT EXP-SUP'!B31</f>
        <v>1553614.15</v>
      </c>
      <c r="G29" s="105"/>
      <c r="H29" s="117">
        <f>+'GF REPORT EXP-SUP'!D31</f>
        <v>1557141.45</v>
      </c>
      <c r="I29" s="117">
        <f>+'GF REPORT EXP-SUP'!E31</f>
        <v>0</v>
      </c>
      <c r="J29" s="117">
        <f>+'GF REPORT EXP-SUP'!F31</f>
        <v>655912.14</v>
      </c>
      <c r="K29" s="105"/>
      <c r="L29" s="105">
        <f t="shared" si="0"/>
        <v>901229.30999999994</v>
      </c>
      <c r="N29" s="81">
        <f t="shared" si="6"/>
        <v>0.5787716395321697</v>
      </c>
      <c r="O29" s="1" t="s">
        <v>43</v>
      </c>
    </row>
    <row r="30" spans="4:15">
      <c r="D30" s="128" t="s">
        <v>256</v>
      </c>
      <c r="F30" s="105">
        <f>+'GF REPORT EXP-SUP'!B32</f>
        <v>554123.06000000006</v>
      </c>
      <c r="G30" s="105"/>
      <c r="H30" s="117">
        <f>+'GF REPORT EXP-SUP'!D32</f>
        <v>555157.11</v>
      </c>
      <c r="I30" s="117">
        <f>+'GF REPORT EXP-SUP'!E32</f>
        <v>0</v>
      </c>
      <c r="J30" s="117">
        <f>+'GF REPORT EXP-SUP'!F32</f>
        <v>265725.06</v>
      </c>
      <c r="K30" s="105"/>
      <c r="L30" s="105">
        <f t="shared" ref="L30" si="7">H30-J30</f>
        <v>289432.05</v>
      </c>
      <c r="N30" s="81">
        <f t="shared" ref="N30" si="8">IF(H30,L30/H30,0)</f>
        <v>0.52135160441338846</v>
      </c>
      <c r="O30" s="1"/>
    </row>
    <row r="31" spans="4:15" s="1" customFormat="1">
      <c r="E31" s="1" t="s">
        <v>95</v>
      </c>
      <c r="F31" s="114">
        <f>SUM(F10:F30)</f>
        <v>155291608.41</v>
      </c>
      <c r="G31" s="109"/>
      <c r="H31" s="114">
        <f>SUM(H10:H30)</f>
        <v>220534875.62</v>
      </c>
      <c r="I31" s="125"/>
      <c r="J31" s="114">
        <f>SUM(J10:J30)</f>
        <v>76346686.459999993</v>
      </c>
      <c r="K31" s="109"/>
      <c r="L31" s="114">
        <f>SUM(L10:L30)</f>
        <v>144188189.16</v>
      </c>
      <c r="N31" s="61">
        <f>IF(L31,L31/H31,0)</f>
        <v>0.65381127930281779</v>
      </c>
      <c r="O31" s="1" t="s">
        <v>43</v>
      </c>
    </row>
    <row r="32" spans="4:15" ht="8.4" customHeight="1">
      <c r="F32" s="84"/>
      <c r="G32" s="84"/>
      <c r="H32" s="84" t="s">
        <v>43</v>
      </c>
      <c r="I32" s="84"/>
      <c r="J32" s="84"/>
      <c r="K32" s="2"/>
      <c r="L32" s="2"/>
      <c r="N32" s="3"/>
    </row>
    <row r="33" spans="3:15">
      <c r="C33" s="1" t="s">
        <v>14</v>
      </c>
      <c r="F33" s="84"/>
      <c r="G33" s="84"/>
      <c r="H33" s="84" t="s">
        <v>43</v>
      </c>
      <c r="I33" s="84"/>
      <c r="J33" s="84" t="s">
        <v>43</v>
      </c>
      <c r="K33" s="2"/>
      <c r="L33" s="2" t="s">
        <v>43</v>
      </c>
      <c r="N33" s="3"/>
      <c r="O33" s="76" t="s">
        <v>43</v>
      </c>
    </row>
    <row r="34" spans="3:15">
      <c r="D34" t="s">
        <v>96</v>
      </c>
      <c r="F34" s="57">
        <f>+'GF REPORT EXP-SUP'!B37</f>
        <v>2515986.4300000002</v>
      </c>
      <c r="G34" s="57">
        <f>+'GF REPORT EXP-SUP'!C37</f>
        <v>0</v>
      </c>
      <c r="H34" s="116">
        <f>+'GF REPORT EXP-SUP'!D37</f>
        <v>2527741.96</v>
      </c>
      <c r="I34" s="126">
        <f>+'GF REPORT EXP-SUP'!E37</f>
        <v>0</v>
      </c>
      <c r="J34" s="116">
        <f>+'GF REPORT EXP-SUP'!F37</f>
        <v>1267665.25</v>
      </c>
      <c r="K34" s="69"/>
      <c r="L34" s="70">
        <f t="shared" ref="L34:L50" si="9">H34-J34</f>
        <v>1260076.71</v>
      </c>
      <c r="N34" s="81">
        <f t="shared" ref="N34:N50" si="10">IF(H34,L34/H34,0)</f>
        <v>0.49849894884049001</v>
      </c>
      <c r="O34" s="76" t="s">
        <v>43</v>
      </c>
    </row>
    <row r="35" spans="3:15">
      <c r="D35" t="s">
        <v>97</v>
      </c>
      <c r="F35" s="105">
        <f>+'GF REPORT EXP-SUP'!B38</f>
        <v>2304844.4300000002</v>
      </c>
      <c r="G35" s="105">
        <f>+'GF REPORT EXP-SUP'!C38</f>
        <v>0</v>
      </c>
      <c r="H35" s="117">
        <f>+'GF REPORT EXP-SUP'!D38</f>
        <v>2317960.35</v>
      </c>
      <c r="I35" s="117">
        <f>+'GF REPORT EXP-SUP'!E38</f>
        <v>0</v>
      </c>
      <c r="J35" s="117">
        <f>+'GF REPORT EXP-SUP'!F38</f>
        <v>1131633.27</v>
      </c>
      <c r="K35" s="105"/>
      <c r="L35" s="105">
        <f t="shared" si="9"/>
        <v>1186327.08</v>
      </c>
      <c r="N35" s="81">
        <f t="shared" si="10"/>
        <v>0.51179783122692324</v>
      </c>
      <c r="O35" s="76" t="s">
        <v>43</v>
      </c>
    </row>
    <row r="36" spans="3:15">
      <c r="D36" t="s">
        <v>98</v>
      </c>
      <c r="F36" s="105">
        <f>+'GF REPORT EXP-SUP'!B39</f>
        <v>2471269.37</v>
      </c>
      <c r="G36" s="105">
        <f>+'GF REPORT EXP-SUP'!C39</f>
        <v>0</v>
      </c>
      <c r="H36" s="117">
        <f>+'GF REPORT EXP-SUP'!D39</f>
        <v>2484544.58</v>
      </c>
      <c r="I36" s="117">
        <f>+'GF REPORT EXP-SUP'!E39</f>
        <v>0</v>
      </c>
      <c r="J36" s="117">
        <f>+'GF REPORT EXP-SUP'!F39</f>
        <v>1243157.71</v>
      </c>
      <c r="K36" s="105"/>
      <c r="L36" s="105">
        <f t="shared" si="9"/>
        <v>1241386.8700000001</v>
      </c>
      <c r="N36" s="81">
        <f t="shared" si="10"/>
        <v>0.49964362885370328</v>
      </c>
      <c r="O36" s="76" t="s">
        <v>43</v>
      </c>
    </row>
    <row r="37" spans="3:15">
      <c r="D37" t="s">
        <v>99</v>
      </c>
      <c r="F37" s="105">
        <f>+'GF REPORT EXP-SUP'!B40</f>
        <v>2788331.61</v>
      </c>
      <c r="G37" s="105">
        <f>+'GF REPORT EXP-SUP'!C40</f>
        <v>0</v>
      </c>
      <c r="H37" s="117">
        <f>+'GF REPORT EXP-SUP'!D40</f>
        <v>2803877.37</v>
      </c>
      <c r="I37" s="117">
        <f>+'GF REPORT EXP-SUP'!E40</f>
        <v>0</v>
      </c>
      <c r="J37" s="117">
        <f>+'GF REPORT EXP-SUP'!F40</f>
        <v>1425037.95</v>
      </c>
      <c r="K37" s="105"/>
      <c r="L37" s="105">
        <f t="shared" si="9"/>
        <v>1378839.4200000002</v>
      </c>
      <c r="N37" s="81">
        <f t="shared" si="10"/>
        <v>0.49176167073241156</v>
      </c>
      <c r="O37" s="76" t="s">
        <v>43</v>
      </c>
    </row>
    <row r="38" spans="3:15">
      <c r="D38" s="14" t="s">
        <v>49</v>
      </c>
      <c r="F38" s="105">
        <f>+'GF REPORT EXP-SUP'!B41</f>
        <v>49212447.25</v>
      </c>
      <c r="G38" s="105">
        <f>+'GF REPORT EXP-SUP'!C41</f>
        <v>0</v>
      </c>
      <c r="H38" s="117">
        <f>+'GF REPORT EXP-SUP'!D41</f>
        <v>48798834.520000003</v>
      </c>
      <c r="I38" s="117">
        <f>+'GF REPORT EXP-SUP'!E41</f>
        <v>0</v>
      </c>
      <c r="J38" s="117">
        <f>+'GF REPORT EXP-SUP'!F41</f>
        <v>27133695.82</v>
      </c>
      <c r="K38" s="105"/>
      <c r="L38" s="105">
        <f t="shared" si="9"/>
        <v>21665138.700000003</v>
      </c>
      <c r="N38" s="81">
        <f t="shared" si="10"/>
        <v>0.44396836344770968</v>
      </c>
      <c r="O38" s="76" t="s">
        <v>43</v>
      </c>
    </row>
    <row r="39" spans="3:15">
      <c r="D39" s="14" t="s">
        <v>165</v>
      </c>
      <c r="F39" s="105">
        <f>+'GF REPORT EXP-SUP'!B42</f>
        <v>534031.85</v>
      </c>
      <c r="G39" s="105">
        <f>+'GF REPORT EXP-SUP'!C42</f>
        <v>0</v>
      </c>
      <c r="H39" s="117">
        <f>+'GF REPORT EXP-SUP'!D42</f>
        <v>537352.18000000005</v>
      </c>
      <c r="I39" s="117">
        <f>+'GF REPORT EXP-SUP'!E42</f>
        <v>0</v>
      </c>
      <c r="J39" s="117">
        <f>+'GF REPORT EXP-SUP'!F42</f>
        <v>223776.88</v>
      </c>
      <c r="K39" s="105"/>
      <c r="L39" s="105">
        <f>H39-J39</f>
        <v>313575.30000000005</v>
      </c>
      <c r="N39" s="81">
        <f t="shared" si="10"/>
        <v>0.58355639312750163</v>
      </c>
      <c r="O39" s="76"/>
    </row>
    <row r="40" spans="3:15">
      <c r="D40" s="14" t="s">
        <v>100</v>
      </c>
      <c r="F40" s="105">
        <f>+'GF REPORT EXP-SUP'!B43</f>
        <v>159763.45000000001</v>
      </c>
      <c r="G40" s="105">
        <f>+'GF REPORT EXP-SUP'!C43</f>
        <v>0</v>
      </c>
      <c r="H40" s="117">
        <f>+'GF REPORT EXP-SUP'!D43</f>
        <v>159767.17000000001</v>
      </c>
      <c r="I40" s="117">
        <f>+'GF REPORT EXP-SUP'!E43</f>
        <v>0</v>
      </c>
      <c r="J40" s="117">
        <f>+'GF REPORT EXP-SUP'!F43</f>
        <v>116967.15</v>
      </c>
      <c r="K40" s="105"/>
      <c r="L40" s="105">
        <f>H40-J40</f>
        <v>42800.020000000019</v>
      </c>
      <c r="N40" s="81">
        <f>IF(H40,L40/H40,0)</f>
        <v>0.26788995511405761</v>
      </c>
      <c r="O40" s="76" t="s">
        <v>43</v>
      </c>
    </row>
    <row r="41" spans="3:15">
      <c r="D41" s="14" t="s">
        <v>101</v>
      </c>
      <c r="F41" s="105">
        <f>+'GF REPORT EXP-SUP'!B44</f>
        <v>44894026.780000001</v>
      </c>
      <c r="G41" s="105">
        <f>+'GF REPORT EXP-SUP'!C44</f>
        <v>0</v>
      </c>
      <c r="H41" s="117">
        <f>+'GF REPORT EXP-SUP'!D44</f>
        <v>45067609.219999999</v>
      </c>
      <c r="I41" s="117">
        <f>+'GF REPORT EXP-SUP'!E44</f>
        <v>0</v>
      </c>
      <c r="J41" s="117">
        <f>+'GF REPORT EXP-SUP'!F44</f>
        <v>20832195.91</v>
      </c>
      <c r="K41" s="105"/>
      <c r="L41" s="105">
        <f t="shared" si="9"/>
        <v>24235413.309999999</v>
      </c>
      <c r="N41" s="81">
        <f t="shared" si="10"/>
        <v>0.53775679982697777</v>
      </c>
      <c r="O41" s="76" t="s">
        <v>43</v>
      </c>
    </row>
    <row r="42" spans="3:15">
      <c r="D42" s="14" t="s">
        <v>102</v>
      </c>
      <c r="F42" s="105">
        <f>+'GF REPORT EXP-SUP'!B45</f>
        <v>14827657.08</v>
      </c>
      <c r="G42" s="105">
        <f>+'GF REPORT EXP-SUP'!C45</f>
        <v>0</v>
      </c>
      <c r="H42" s="117">
        <f>+'GF REPORT EXP-SUP'!D45</f>
        <v>14840649.57</v>
      </c>
      <c r="I42" s="117">
        <f>+'GF REPORT EXP-SUP'!E45</f>
        <v>0</v>
      </c>
      <c r="J42" s="117">
        <f>+'GF REPORT EXP-SUP'!F45</f>
        <v>6045896.1500000004</v>
      </c>
      <c r="K42" s="105"/>
      <c r="L42" s="105">
        <f t="shared" si="9"/>
        <v>8794753.4199999999</v>
      </c>
      <c r="N42" s="81">
        <f t="shared" si="10"/>
        <v>0.59261243104738304</v>
      </c>
      <c r="O42" s="76" t="s">
        <v>43</v>
      </c>
    </row>
    <row r="43" spans="3:15">
      <c r="D43" s="14" t="s">
        <v>103</v>
      </c>
      <c r="F43" s="105">
        <f>+'GF REPORT EXP-SUP'!B46</f>
        <v>207607.31</v>
      </c>
      <c r="G43" s="105">
        <f>+'GF REPORT EXP-SUP'!C46</f>
        <v>0</v>
      </c>
      <c r="H43" s="117">
        <f>+'GF REPORT EXP-SUP'!D46</f>
        <v>207607.31</v>
      </c>
      <c r="I43" s="117">
        <f>+'GF REPORT EXP-SUP'!E46</f>
        <v>0</v>
      </c>
      <c r="J43" s="117">
        <f>+'GF REPORT EXP-SUP'!F46</f>
        <v>149514.42000000001</v>
      </c>
      <c r="K43" s="105"/>
      <c r="L43" s="105">
        <f t="shared" si="9"/>
        <v>58092.889999999985</v>
      </c>
      <c r="N43" s="81">
        <f t="shared" si="10"/>
        <v>0.27982102364314621</v>
      </c>
      <c r="O43" s="76" t="s">
        <v>43</v>
      </c>
    </row>
    <row r="44" spans="3:15">
      <c r="D44" s="14" t="s">
        <v>131</v>
      </c>
      <c r="F44" s="105">
        <f>+'GF REPORT EXP-SUP'!B47</f>
        <v>1387072.16</v>
      </c>
      <c r="G44" s="105">
        <f>+'GF REPORT EXP-SUP'!C47</f>
        <v>0</v>
      </c>
      <c r="H44" s="117">
        <f>+'GF REPORT EXP-SUP'!D47</f>
        <v>1001423.91</v>
      </c>
      <c r="I44" s="117">
        <f>+'GF REPORT EXP-SUP'!E47</f>
        <v>0</v>
      </c>
      <c r="J44" s="117">
        <f>+'GF REPORT EXP-SUP'!F47</f>
        <v>427566.95</v>
      </c>
      <c r="K44" s="105"/>
      <c r="L44" s="105">
        <f>H44-J44</f>
        <v>573856.96</v>
      </c>
      <c r="N44" s="81">
        <f t="shared" si="10"/>
        <v>0.57304100118799839</v>
      </c>
      <c r="O44" s="76" t="s">
        <v>43</v>
      </c>
    </row>
    <row r="45" spans="3:15">
      <c r="D45" s="14" t="s">
        <v>7</v>
      </c>
      <c r="F45" s="105">
        <f>+'GF REPORT EXP-SUP'!B48</f>
        <v>37798269.140000001</v>
      </c>
      <c r="G45" s="105">
        <f>+'GF REPORT EXP-SUP'!C48</f>
        <v>0</v>
      </c>
      <c r="H45" s="117">
        <f>+'GF REPORT EXP-SUP'!D48</f>
        <v>38191049.469999999</v>
      </c>
      <c r="I45" s="117">
        <f>+'GF REPORT EXP-SUP'!E48</f>
        <v>0</v>
      </c>
      <c r="J45" s="117">
        <f>+'GF REPORT EXP-SUP'!F48</f>
        <v>22162065.949999999</v>
      </c>
      <c r="K45" s="105"/>
      <c r="L45" s="105">
        <f t="shared" si="9"/>
        <v>16028983.52</v>
      </c>
      <c r="N45" s="81">
        <f t="shared" si="10"/>
        <v>0.41970523833316381</v>
      </c>
      <c r="O45" s="76" t="s">
        <v>43</v>
      </c>
    </row>
    <row r="46" spans="3:15">
      <c r="D46" s="14" t="s">
        <v>32</v>
      </c>
      <c r="F46" s="105">
        <f>+'GF REPORT EXP-SUP'!B49</f>
        <v>1948199.05</v>
      </c>
      <c r="G46" s="105">
        <f>+'GF REPORT EXP-SUP'!C49</f>
        <v>0</v>
      </c>
      <c r="H46" s="117">
        <f>+'GF REPORT EXP-SUP'!D49</f>
        <v>1929151.34</v>
      </c>
      <c r="I46" s="117">
        <f>+'GF REPORT EXP-SUP'!E49</f>
        <v>0</v>
      </c>
      <c r="J46" s="117">
        <f>+'GF REPORT EXP-SUP'!F49</f>
        <v>454670.96</v>
      </c>
      <c r="K46" s="105"/>
      <c r="L46" s="105">
        <f>H46-J46</f>
        <v>1474480.3800000001</v>
      </c>
      <c r="N46" s="81">
        <f t="shared" si="10"/>
        <v>0.76431555649750116</v>
      </c>
      <c r="O46" s="76" t="s">
        <v>43</v>
      </c>
    </row>
    <row r="47" spans="3:15">
      <c r="D47" s="14" t="s">
        <v>161</v>
      </c>
      <c r="F47" s="105">
        <f>+'GF REPORT EXP-SUP'!B50</f>
        <v>1144831.79</v>
      </c>
      <c r="G47" s="105">
        <f>+'GF REPORT EXP-SUP'!C50</f>
        <v>0</v>
      </c>
      <c r="H47" s="117">
        <f>+'GF REPORT EXP-SUP'!D50</f>
        <v>1164647.1499999999</v>
      </c>
      <c r="I47" s="117">
        <f>+'GF REPORT EXP-SUP'!E50</f>
        <v>0</v>
      </c>
      <c r="J47" s="117">
        <f>+'GF REPORT EXP-SUP'!F50</f>
        <v>616779.37</v>
      </c>
      <c r="K47" s="105"/>
      <c r="L47" s="105">
        <f>H47-J47</f>
        <v>547867.77999999991</v>
      </c>
      <c r="N47" s="81">
        <f t="shared" si="10"/>
        <v>0.47041524980334171</v>
      </c>
      <c r="O47" s="76" t="s">
        <v>43</v>
      </c>
    </row>
    <row r="48" spans="3:15">
      <c r="D48" s="14" t="s">
        <v>104</v>
      </c>
      <c r="F48" s="105">
        <f>+'GF REPORT EXP-SUP'!B51</f>
        <v>9643970.7400000002</v>
      </c>
      <c r="G48" s="105">
        <f>+'GF REPORT EXP-SUP'!C51</f>
        <v>0</v>
      </c>
      <c r="H48" s="117">
        <f>+'GF REPORT EXP-SUP'!D51</f>
        <v>9746474.1799999997</v>
      </c>
      <c r="I48" s="117">
        <f>+'GF REPORT EXP-SUP'!E51</f>
        <v>0</v>
      </c>
      <c r="J48" s="117">
        <f>+'GF REPORT EXP-SUP'!F51</f>
        <v>3817036.2</v>
      </c>
      <c r="K48" s="105"/>
      <c r="L48" s="105">
        <f>H48-J48</f>
        <v>5929437.9799999995</v>
      </c>
      <c r="N48" s="81">
        <f t="shared" si="10"/>
        <v>0.60836748453788037</v>
      </c>
      <c r="O48" s="76" t="s">
        <v>43</v>
      </c>
    </row>
    <row r="49" spans="3:15">
      <c r="D49" s="14" t="s">
        <v>148</v>
      </c>
      <c r="F49" s="105">
        <f>+'GF REPORT EXP-SUP'!B52</f>
        <v>921142.04</v>
      </c>
      <c r="G49" s="105">
        <f>+'GF REPORT EXP-SUP'!C52</f>
        <v>0</v>
      </c>
      <c r="H49" s="117">
        <f>+'GF REPORT EXP-SUP'!D52</f>
        <v>937343.57</v>
      </c>
      <c r="I49" s="117">
        <f>+'GF REPORT EXP-SUP'!E52</f>
        <v>0</v>
      </c>
      <c r="J49" s="117">
        <f>+'GF REPORT EXP-SUP'!F52</f>
        <v>435826.89</v>
      </c>
      <c r="K49" s="105"/>
      <c r="L49" s="105">
        <f>H49-J49</f>
        <v>501516.67999999993</v>
      </c>
      <c r="N49" s="81">
        <f t="shared" si="10"/>
        <v>0.53504040146133391</v>
      </c>
      <c r="O49" s="76" t="s">
        <v>43</v>
      </c>
    </row>
    <row r="50" spans="3:15">
      <c r="D50" s="14" t="s">
        <v>168</v>
      </c>
      <c r="F50" s="105">
        <f>+'GF REPORT EXP-SUP'!B53</f>
        <v>3844364.02</v>
      </c>
      <c r="G50" s="105">
        <f>+'GF REPORT EXP-SUP'!C53</f>
        <v>0</v>
      </c>
      <c r="H50" s="117">
        <f>+'GF REPORT EXP-SUP'!D53</f>
        <v>3862387.09</v>
      </c>
      <c r="I50" s="117">
        <f>+'GF REPORT EXP-SUP'!E53</f>
        <v>0</v>
      </c>
      <c r="J50" s="117">
        <f>+'GF REPORT EXP-SUP'!F53</f>
        <v>2622367.35</v>
      </c>
      <c r="K50" s="105"/>
      <c r="L50" s="105">
        <f t="shared" si="9"/>
        <v>1240019.7399999998</v>
      </c>
      <c r="N50" s="81">
        <f t="shared" si="10"/>
        <v>0.32105009443784149</v>
      </c>
      <c r="O50" s="76" t="s">
        <v>43</v>
      </c>
    </row>
    <row r="51" spans="3:15" s="1" customFormat="1">
      <c r="E51" s="1" t="s">
        <v>105</v>
      </c>
      <c r="F51" s="114">
        <f>SUM(F34:F50)</f>
        <v>176603814.50000003</v>
      </c>
      <c r="G51" s="109"/>
      <c r="H51" s="124">
        <f>SUM(H34:H50)</f>
        <v>176578420.94</v>
      </c>
      <c r="I51" s="125"/>
      <c r="J51" s="124">
        <f>SUM(J34:J50)</f>
        <v>90105854.179999992</v>
      </c>
      <c r="K51" s="109"/>
      <c r="L51" s="114">
        <f>SUM(L34:L50)</f>
        <v>86472566.760000005</v>
      </c>
      <c r="N51" s="61">
        <f>IF(L51,L51/H51,0)</f>
        <v>0.48971197216325046</v>
      </c>
    </row>
    <row r="52" spans="3:15" ht="17.25" customHeight="1">
      <c r="F52" s="84"/>
      <c r="G52" s="84"/>
      <c r="H52" s="84"/>
      <c r="I52" s="84"/>
      <c r="J52" s="84"/>
      <c r="K52" s="2"/>
      <c r="L52" s="2"/>
      <c r="N52" s="3"/>
    </row>
    <row r="53" spans="3:15">
      <c r="C53" s="1" t="s">
        <v>15</v>
      </c>
      <c r="F53" s="84"/>
      <c r="G53" s="84"/>
      <c r="H53" s="84"/>
      <c r="I53" s="84"/>
      <c r="J53" s="84" t="s">
        <v>43</v>
      </c>
      <c r="K53" s="2"/>
      <c r="L53" s="2" t="s">
        <v>43</v>
      </c>
      <c r="N53" s="3"/>
    </row>
    <row r="54" spans="3:15">
      <c r="D54" s="14" t="s">
        <v>106</v>
      </c>
      <c r="F54" s="57">
        <f>+'GF REPORT EXP-SUP'!B58</f>
        <v>3151302.97</v>
      </c>
      <c r="G54" s="57">
        <f>+'GF REPORT EXP-SUP'!C58</f>
        <v>0</v>
      </c>
      <c r="H54" s="116">
        <f>+'GF REPORT EXP-SUP'!D58</f>
        <v>3153368.54</v>
      </c>
      <c r="I54" s="126">
        <f>+'GF REPORT EXP-SUP'!E58</f>
        <v>0</v>
      </c>
      <c r="J54" s="116">
        <f>+'GF REPORT EXP-SUP'!F58</f>
        <v>1551385.57</v>
      </c>
      <c r="K54" s="69"/>
      <c r="L54" s="70">
        <f t="shared" ref="L54:L79" si="11">H54-J54</f>
        <v>1601982.97</v>
      </c>
      <c r="N54" s="3">
        <f t="shared" ref="N54:N79" si="12">IF(H54,L54/H54,0)</f>
        <v>0.50802275397851215</v>
      </c>
    </row>
    <row r="55" spans="3:15">
      <c r="D55" t="s">
        <v>107</v>
      </c>
      <c r="F55" s="105">
        <f>+'GF REPORT EXP-SUP'!B59</f>
        <v>721231.67</v>
      </c>
      <c r="G55" s="105">
        <f>+'GF REPORT EXP-SUP'!C59</f>
        <v>0</v>
      </c>
      <c r="H55" s="117">
        <f>+'GF REPORT EXP-SUP'!D59</f>
        <v>721292.17</v>
      </c>
      <c r="I55" s="117">
        <f>+'GF REPORT EXP-SUP'!E59</f>
        <v>0</v>
      </c>
      <c r="J55" s="117">
        <f>+'GF REPORT EXP-SUP'!F59</f>
        <v>321272.03999999998</v>
      </c>
      <c r="K55" s="105"/>
      <c r="L55" s="105">
        <f t="shared" si="11"/>
        <v>400020.13000000006</v>
      </c>
      <c r="N55" s="3">
        <f t="shared" si="12"/>
        <v>0.55458820522063901</v>
      </c>
    </row>
    <row r="56" spans="3:15">
      <c r="D56" t="s">
        <v>108</v>
      </c>
      <c r="F56" s="105">
        <f>+'GF REPORT EXP-SUP'!B60</f>
        <v>735889.62</v>
      </c>
      <c r="G56" s="105">
        <f>+'GF REPORT EXP-SUP'!C60</f>
        <v>0</v>
      </c>
      <c r="H56" s="117">
        <f>+'GF REPORT EXP-SUP'!D60</f>
        <v>735951.44</v>
      </c>
      <c r="I56" s="117">
        <f>+'GF REPORT EXP-SUP'!E60</f>
        <v>0</v>
      </c>
      <c r="J56" s="117">
        <f>+'GF REPORT EXP-SUP'!F60</f>
        <v>322775.52</v>
      </c>
      <c r="K56" s="105"/>
      <c r="L56" s="105">
        <f t="shared" si="11"/>
        <v>413175.91999999993</v>
      </c>
      <c r="N56" s="3">
        <f t="shared" si="12"/>
        <v>0.56141736742848136</v>
      </c>
    </row>
    <row r="57" spans="3:15">
      <c r="D57" t="s">
        <v>109</v>
      </c>
      <c r="F57" s="105">
        <f>+'GF REPORT EXP-SUP'!B61</f>
        <v>737097.98</v>
      </c>
      <c r="G57" s="105">
        <f>+'GF REPORT EXP-SUP'!C61</f>
        <v>0</v>
      </c>
      <c r="H57" s="117">
        <f>+'GF REPORT EXP-SUP'!D61</f>
        <v>737156.96</v>
      </c>
      <c r="I57" s="117">
        <f>+'GF REPORT EXP-SUP'!E61</f>
        <v>0</v>
      </c>
      <c r="J57" s="117">
        <f>+'GF REPORT EXP-SUP'!F61</f>
        <v>330024.78000000003</v>
      </c>
      <c r="K57" s="105"/>
      <c r="L57" s="105">
        <f t="shared" si="11"/>
        <v>407132.17999999993</v>
      </c>
      <c r="N57" s="3">
        <f t="shared" si="12"/>
        <v>0.5523005304053562</v>
      </c>
    </row>
    <row r="58" spans="3:15">
      <c r="D58" t="s">
        <v>110</v>
      </c>
      <c r="F58" s="105">
        <f>+'GF REPORT EXP-SUP'!B62</f>
        <v>859946.46</v>
      </c>
      <c r="G58" s="105">
        <f>+'GF REPORT EXP-SUP'!C62</f>
        <v>0</v>
      </c>
      <c r="H58" s="117">
        <f>+'GF REPORT EXP-SUP'!D62</f>
        <v>860004.53</v>
      </c>
      <c r="I58" s="117">
        <f>+'GF REPORT EXP-SUP'!E62</f>
        <v>0</v>
      </c>
      <c r="J58" s="117">
        <f>+'GF REPORT EXP-SUP'!F62</f>
        <v>322368.17</v>
      </c>
      <c r="K58" s="105"/>
      <c r="L58" s="105">
        <f t="shared" si="11"/>
        <v>537636.3600000001</v>
      </c>
      <c r="N58" s="3">
        <f t="shared" si="12"/>
        <v>0.62515526517052189</v>
      </c>
    </row>
    <row r="59" spans="3:15">
      <c r="D59" s="14" t="s">
        <v>160</v>
      </c>
      <c r="F59" s="105">
        <f>+'GF REPORT EXP-SUP'!B63</f>
        <v>690055.7</v>
      </c>
      <c r="G59" s="105">
        <f>+'GF REPORT EXP-SUP'!C63</f>
        <v>0</v>
      </c>
      <c r="H59" s="117">
        <f>+'GF REPORT EXP-SUP'!D63</f>
        <v>690110.35</v>
      </c>
      <c r="I59" s="117">
        <f>+'GF REPORT EXP-SUP'!E63</f>
        <v>0</v>
      </c>
      <c r="J59" s="117">
        <f>+'GF REPORT EXP-SUP'!F63</f>
        <v>311789.71000000002</v>
      </c>
      <c r="K59" s="105"/>
      <c r="L59" s="105">
        <f t="shared" ref="L59" si="13">H59-J59</f>
        <v>378320.63999999996</v>
      </c>
      <c r="N59" s="3">
        <f t="shared" ref="N59" si="14">IF(H59,L59/H59,0)</f>
        <v>0.54820310983598486</v>
      </c>
    </row>
    <row r="60" spans="3:15">
      <c r="D60" s="14" t="s">
        <v>16</v>
      </c>
      <c r="F60" s="105">
        <f>+'GF REPORT EXP-SUP'!B64</f>
        <v>5483214.0899999999</v>
      </c>
      <c r="G60" s="105">
        <f>+'GF REPORT EXP-SUP'!C64</f>
        <v>0</v>
      </c>
      <c r="H60" s="117">
        <f>+'GF REPORT EXP-SUP'!D64</f>
        <v>5483237.6399999997</v>
      </c>
      <c r="I60" s="117">
        <f>+'GF REPORT EXP-SUP'!E64</f>
        <v>0</v>
      </c>
      <c r="J60" s="117">
        <f>+'GF REPORT EXP-SUP'!F64</f>
        <v>2334016.44</v>
      </c>
      <c r="K60" s="105"/>
      <c r="L60" s="105">
        <f t="shared" si="11"/>
        <v>3149221.1999999997</v>
      </c>
      <c r="N60" s="3">
        <f t="shared" si="12"/>
        <v>0.57433607783594076</v>
      </c>
    </row>
    <row r="61" spans="3:15">
      <c r="D61" s="14" t="s">
        <v>151</v>
      </c>
      <c r="F61" s="105">
        <f>+'GF REPORT EXP-SUP'!B65</f>
        <v>777349.33</v>
      </c>
      <c r="G61" s="105">
        <f>+'GF REPORT EXP-SUP'!C65</f>
        <v>0</v>
      </c>
      <c r="H61" s="117">
        <f>+'GF REPORT EXP-SUP'!D65</f>
        <v>778156.31</v>
      </c>
      <c r="I61" s="117">
        <f>+'GF REPORT EXP-SUP'!E65</f>
        <v>0</v>
      </c>
      <c r="J61" s="117">
        <f>+'GF REPORT EXP-SUP'!F65</f>
        <v>329123.36</v>
      </c>
      <c r="K61" s="105"/>
      <c r="L61" s="105">
        <f t="shared" si="11"/>
        <v>449032.95000000007</v>
      </c>
      <c r="N61" s="3">
        <f t="shared" si="12"/>
        <v>0.57704723874821506</v>
      </c>
    </row>
    <row r="62" spans="3:15">
      <c r="D62" s="14" t="s">
        <v>159</v>
      </c>
      <c r="F62" s="105">
        <f>+'GF REPORT EXP-SUP'!B66</f>
        <v>2258197</v>
      </c>
      <c r="G62" s="105">
        <f>+'GF REPORT EXP-SUP'!C66</f>
        <v>0</v>
      </c>
      <c r="H62" s="117">
        <f>+'GF REPORT EXP-SUP'!D66</f>
        <v>2258348.33</v>
      </c>
      <c r="I62" s="117">
        <f>+'GF REPORT EXP-SUP'!E66</f>
        <v>0</v>
      </c>
      <c r="J62" s="117">
        <f>+'GF REPORT EXP-SUP'!F66</f>
        <v>1104898.92</v>
      </c>
      <c r="K62" s="105"/>
      <c r="L62" s="105">
        <f t="shared" si="11"/>
        <v>1153449.4100000001</v>
      </c>
      <c r="N62" s="3">
        <f t="shared" si="12"/>
        <v>0.51074911459739258</v>
      </c>
    </row>
    <row r="63" spans="3:15">
      <c r="D63" s="14" t="s">
        <v>166</v>
      </c>
      <c r="F63" s="105">
        <f>+'GF REPORT EXP-SUP'!B67</f>
        <v>133230.03</v>
      </c>
      <c r="G63" s="105">
        <f>+'GF REPORT EXP-SUP'!C67</f>
        <v>0</v>
      </c>
      <c r="H63" s="117">
        <f>+'GF REPORT EXP-SUP'!D67</f>
        <v>134385.84</v>
      </c>
      <c r="I63" s="117">
        <f>+'GF REPORT EXP-SUP'!E67</f>
        <v>0</v>
      </c>
      <c r="J63" s="117">
        <f>+'GF REPORT EXP-SUP'!F67</f>
        <v>51939.93</v>
      </c>
      <c r="K63" s="105"/>
      <c r="L63" s="105">
        <f t="shared" ref="L63:L66" si="15">H63-J63</f>
        <v>82445.91</v>
      </c>
      <c r="N63" s="3">
        <f t="shared" ref="N63:N66" si="16">IF(H63,L63/H63,0)</f>
        <v>0.61350146711885722</v>
      </c>
    </row>
    <row r="64" spans="3:15">
      <c r="D64" s="14" t="s">
        <v>167</v>
      </c>
      <c r="F64" s="105">
        <f>+'GF REPORT EXP-SUP'!B68</f>
        <v>52300</v>
      </c>
      <c r="G64" s="105">
        <f>+'GF REPORT EXP-SUP'!C68</f>
        <v>0</v>
      </c>
      <c r="H64" s="117">
        <f>+'GF REPORT EXP-SUP'!D68</f>
        <v>52300</v>
      </c>
      <c r="I64" s="117">
        <f>+'GF REPORT EXP-SUP'!E68</f>
        <v>0</v>
      </c>
      <c r="J64" s="119">
        <f>+'GF REPORT EXP-SUP'!F68</f>
        <v>1243.47</v>
      </c>
      <c r="K64" s="105"/>
      <c r="L64" s="105">
        <f t="shared" si="15"/>
        <v>51056.53</v>
      </c>
      <c r="N64" s="3">
        <f t="shared" si="16"/>
        <v>0.97622428298279151</v>
      </c>
    </row>
    <row r="65" spans="4:14">
      <c r="D65" t="s">
        <v>111</v>
      </c>
      <c r="F65" s="105">
        <f>+'GF REPORT EXP-SUP'!B69</f>
        <v>394601.98</v>
      </c>
      <c r="G65" s="105">
        <f>+'GF REPORT EXP-SUP'!C69</f>
        <v>0</v>
      </c>
      <c r="H65" s="117">
        <f>+'GF REPORT EXP-SUP'!D69</f>
        <v>394625.19</v>
      </c>
      <c r="I65" s="117">
        <f>+'GF REPORT EXP-SUP'!E69</f>
        <v>0</v>
      </c>
      <c r="J65" s="117">
        <f>+'GF REPORT EXP-SUP'!F69</f>
        <v>152902.59</v>
      </c>
      <c r="K65" s="105"/>
      <c r="L65" s="105">
        <f t="shared" si="15"/>
        <v>241722.6</v>
      </c>
      <c r="N65" s="3">
        <f t="shared" si="16"/>
        <v>0.61253717736569224</v>
      </c>
    </row>
    <row r="66" spans="4:14">
      <c r="D66" t="s">
        <v>112</v>
      </c>
      <c r="F66" s="105">
        <f>+'GF REPORT EXP-SUP'!B70</f>
        <v>407800.95</v>
      </c>
      <c r="G66" s="105">
        <f>+'GF REPORT EXP-SUP'!C70</f>
        <v>0</v>
      </c>
      <c r="H66" s="117">
        <f>+'GF REPORT EXP-SUP'!D70</f>
        <v>407825.68</v>
      </c>
      <c r="I66" s="117">
        <f>+'GF REPORT EXP-SUP'!E70</f>
        <v>0</v>
      </c>
      <c r="J66" s="117">
        <f>+'GF REPORT EXP-SUP'!F70</f>
        <v>179549.29</v>
      </c>
      <c r="K66" s="105"/>
      <c r="L66" s="105">
        <f t="shared" si="15"/>
        <v>228276.38999999998</v>
      </c>
      <c r="N66" s="3">
        <f t="shared" si="16"/>
        <v>0.55974010758714354</v>
      </c>
    </row>
    <row r="67" spans="4:14">
      <c r="D67" t="s">
        <v>113</v>
      </c>
      <c r="F67" s="105">
        <f>+'GF REPORT EXP-SUP'!B71</f>
        <v>395057.44</v>
      </c>
      <c r="G67" s="105">
        <f>+'GF REPORT EXP-SUP'!C71</f>
        <v>0</v>
      </c>
      <c r="H67" s="117">
        <f>+'GF REPORT EXP-SUP'!D71</f>
        <v>395081.61</v>
      </c>
      <c r="I67" s="117">
        <f>+'GF REPORT EXP-SUP'!E71</f>
        <v>0</v>
      </c>
      <c r="J67" s="117">
        <f>+'GF REPORT EXP-SUP'!F71</f>
        <v>174086.08</v>
      </c>
      <c r="K67" s="105"/>
      <c r="L67" s="105">
        <f t="shared" si="11"/>
        <v>220995.53</v>
      </c>
      <c r="N67" s="3">
        <f t="shared" si="12"/>
        <v>0.55936678500424253</v>
      </c>
    </row>
    <row r="68" spans="4:14">
      <c r="D68" t="s">
        <v>114</v>
      </c>
      <c r="F68" s="105">
        <f>+'GF REPORT EXP-SUP'!B72</f>
        <v>374262.72</v>
      </c>
      <c r="G68" s="105">
        <f>+'GF REPORT EXP-SUP'!C72</f>
        <v>0</v>
      </c>
      <c r="H68" s="117">
        <f>+'GF REPORT EXP-SUP'!D72</f>
        <v>374286.5</v>
      </c>
      <c r="I68" s="117">
        <f>+'GF REPORT EXP-SUP'!E72</f>
        <v>0</v>
      </c>
      <c r="J68" s="117">
        <f>+'GF REPORT EXP-SUP'!F72</f>
        <v>160885.03</v>
      </c>
      <c r="K68" s="105"/>
      <c r="L68" s="105">
        <f t="shared" si="11"/>
        <v>213401.47</v>
      </c>
      <c r="N68" s="3">
        <f t="shared" si="12"/>
        <v>0.57015540234552942</v>
      </c>
    </row>
    <row r="69" spans="4:14">
      <c r="D69" t="s">
        <v>115</v>
      </c>
      <c r="F69" s="105">
        <f>+'GF REPORT EXP-SUP'!B73</f>
        <v>399792.14</v>
      </c>
      <c r="G69" s="105">
        <f>+'GF REPORT EXP-SUP'!C73</f>
        <v>0</v>
      </c>
      <c r="H69" s="117">
        <f>+'GF REPORT EXP-SUP'!D73</f>
        <v>399816.36</v>
      </c>
      <c r="I69" s="117">
        <f>+'GF REPORT EXP-SUP'!E73</f>
        <v>0</v>
      </c>
      <c r="J69" s="117">
        <f>+'GF REPORT EXP-SUP'!F73</f>
        <v>176318.32</v>
      </c>
      <c r="K69" s="105"/>
      <c r="L69" s="105">
        <f t="shared" si="11"/>
        <v>223498.03999999998</v>
      </c>
      <c r="N69" s="3">
        <f t="shared" si="12"/>
        <v>0.55900173769777706</v>
      </c>
    </row>
    <row r="70" spans="4:14">
      <c r="D70" s="14" t="s">
        <v>169</v>
      </c>
      <c r="F70" s="105">
        <f>+'GF REPORT EXP-SUP'!B74</f>
        <v>388787.92</v>
      </c>
      <c r="G70" s="105">
        <f>+'GF REPORT EXP-SUP'!C74</f>
        <v>0</v>
      </c>
      <c r="H70" s="117">
        <f>+'GF REPORT EXP-SUP'!D74</f>
        <v>388810.61</v>
      </c>
      <c r="I70" s="117">
        <f>+'GF REPORT EXP-SUP'!E74</f>
        <v>0</v>
      </c>
      <c r="J70" s="117">
        <f>+'GF REPORT EXP-SUP'!F74</f>
        <v>176936.67</v>
      </c>
      <c r="K70" s="105"/>
      <c r="L70" s="105">
        <f t="shared" ref="L70" si="17">H70-J70</f>
        <v>211873.93999999997</v>
      </c>
      <c r="N70" s="3">
        <f t="shared" ref="N70" si="18">IF(H70,L70/H70,0)</f>
        <v>0.54492839071444055</v>
      </c>
    </row>
    <row r="71" spans="4:14">
      <c r="D71" s="128" t="s">
        <v>452</v>
      </c>
      <c r="F71" s="105">
        <f>+'GF REPORT EXP-SUP'!B75</f>
        <v>421511.33</v>
      </c>
      <c r="G71" s="105">
        <f>+'GF REPORT EXP-SUP'!C75</f>
        <v>0</v>
      </c>
      <c r="H71" s="117">
        <f>+'GF REPORT EXP-SUP'!D75</f>
        <v>421315.72</v>
      </c>
      <c r="I71" s="117">
        <f>+'GF REPORT EXP-SUP'!E75</f>
        <v>0</v>
      </c>
      <c r="J71" s="117">
        <f>+'GF REPORT EXP-SUP'!F75</f>
        <v>42568.19</v>
      </c>
      <c r="K71" s="105"/>
      <c r="L71" s="105">
        <f t="shared" ref="L71" si="19">H71-J71</f>
        <v>378747.52999999997</v>
      </c>
      <c r="N71" s="3">
        <f t="shared" ref="N71" si="20">IF(H71,L71/H71,0)</f>
        <v>0.89896367977914515</v>
      </c>
    </row>
    <row r="72" spans="4:14">
      <c r="D72" s="14" t="s">
        <v>58</v>
      </c>
      <c r="F72" s="105">
        <f>+'GF REPORT EXP-SUP'!B76</f>
        <v>9951490.5</v>
      </c>
      <c r="G72" s="105">
        <f>+'GF REPORT EXP-SUP'!C76</f>
        <v>0</v>
      </c>
      <c r="H72" s="117">
        <f>+'GF REPORT EXP-SUP'!D76</f>
        <v>10110589.07</v>
      </c>
      <c r="I72" s="117">
        <f>+'GF REPORT EXP-SUP'!E76</f>
        <v>0</v>
      </c>
      <c r="J72" s="117">
        <f>+'GF REPORT EXP-SUP'!F76</f>
        <v>4359562.01</v>
      </c>
      <c r="K72" s="105"/>
      <c r="L72" s="105">
        <f t="shared" si="11"/>
        <v>5751027.0600000005</v>
      </c>
      <c r="N72" s="3">
        <f t="shared" si="12"/>
        <v>0.56881226407117746</v>
      </c>
    </row>
    <row r="73" spans="4:14">
      <c r="D73" s="14" t="s">
        <v>52</v>
      </c>
      <c r="F73" s="105">
        <f>+'GF REPORT EXP-SUP'!B77</f>
        <v>3262829.26</v>
      </c>
      <c r="G73" s="105">
        <f>+'GF REPORT EXP-SUP'!C77</f>
        <v>0</v>
      </c>
      <c r="H73" s="117">
        <f>+'GF REPORT EXP-SUP'!D77</f>
        <v>3261932.05</v>
      </c>
      <c r="I73" s="117">
        <f>+'GF REPORT EXP-SUP'!E77</f>
        <v>0</v>
      </c>
      <c r="J73" s="117">
        <f>+'GF REPORT EXP-SUP'!F77</f>
        <v>1334287.8500000001</v>
      </c>
      <c r="K73" s="105"/>
      <c r="L73" s="105">
        <f t="shared" si="11"/>
        <v>1927644.1999999997</v>
      </c>
      <c r="N73" s="3">
        <f t="shared" si="12"/>
        <v>0.59095167233787105</v>
      </c>
    </row>
    <row r="74" spans="4:14">
      <c r="D74" t="s">
        <v>116</v>
      </c>
      <c r="F74" s="105">
        <f>+'GF REPORT EXP-SUP'!B78</f>
        <v>1493096.27</v>
      </c>
      <c r="G74" s="105">
        <f>+'GF REPORT EXP-SUP'!C78</f>
        <v>0</v>
      </c>
      <c r="H74" s="117">
        <f>+'GF REPORT EXP-SUP'!D78</f>
        <v>1493140.03</v>
      </c>
      <c r="I74" s="117">
        <f>+'GF REPORT EXP-SUP'!E78</f>
        <v>0</v>
      </c>
      <c r="J74" s="117">
        <f>+'GF REPORT EXP-SUP'!F78</f>
        <v>618480.94999999995</v>
      </c>
      <c r="K74" s="105"/>
      <c r="L74" s="105">
        <f t="shared" si="11"/>
        <v>874659.08000000007</v>
      </c>
      <c r="N74" s="3">
        <f t="shared" si="12"/>
        <v>0.58578503182986796</v>
      </c>
    </row>
    <row r="75" spans="4:14">
      <c r="D75" t="s">
        <v>117</v>
      </c>
      <c r="F75" s="105">
        <f>+'GF REPORT EXP-SUP'!B79</f>
        <v>1717054.38</v>
      </c>
      <c r="G75" s="105">
        <f>+'GF REPORT EXP-SUP'!C79</f>
        <v>0</v>
      </c>
      <c r="H75" s="117">
        <f>+'GF REPORT EXP-SUP'!D79</f>
        <v>1717289.9</v>
      </c>
      <c r="I75" s="117">
        <f>+'GF REPORT EXP-SUP'!E79</f>
        <v>0</v>
      </c>
      <c r="J75" s="117">
        <f>+'GF REPORT EXP-SUP'!F79</f>
        <v>749084.6</v>
      </c>
      <c r="K75" s="105"/>
      <c r="L75" s="105">
        <f t="shared" si="11"/>
        <v>968205.29999999993</v>
      </c>
      <c r="N75" s="3">
        <f t="shared" si="12"/>
        <v>0.56379840119015434</v>
      </c>
    </row>
    <row r="76" spans="4:14">
      <c r="D76" t="s">
        <v>118</v>
      </c>
      <c r="F76" s="105">
        <f>+'GF REPORT EXP-SUP'!B80</f>
        <v>2255932.5</v>
      </c>
      <c r="G76" s="105">
        <f>+'GF REPORT EXP-SUP'!C80</f>
        <v>0</v>
      </c>
      <c r="H76" s="117">
        <f>+'GF REPORT EXP-SUP'!D80</f>
        <v>2256860.9700000002</v>
      </c>
      <c r="I76" s="117">
        <f>+'GF REPORT EXP-SUP'!E80</f>
        <v>0</v>
      </c>
      <c r="J76" s="117">
        <f>+'GF REPORT EXP-SUP'!F80</f>
        <v>877444.94</v>
      </c>
      <c r="K76" s="105"/>
      <c r="L76" s="105">
        <f t="shared" si="11"/>
        <v>1379416.0300000003</v>
      </c>
      <c r="N76" s="3">
        <f t="shared" si="12"/>
        <v>0.61121001618455928</v>
      </c>
    </row>
    <row r="77" spans="4:14">
      <c r="D77" t="s">
        <v>119</v>
      </c>
      <c r="F77" s="105">
        <f>+'GF REPORT EXP-SUP'!B81</f>
        <v>2058707.95</v>
      </c>
      <c r="G77" s="105">
        <f>+'GF REPORT EXP-SUP'!C81</f>
        <v>0</v>
      </c>
      <c r="H77" s="117">
        <f>+'GF REPORT EXP-SUP'!D81</f>
        <v>2058748.02</v>
      </c>
      <c r="I77" s="117">
        <f>+'GF REPORT EXP-SUP'!E81</f>
        <v>0</v>
      </c>
      <c r="J77" s="117">
        <f>+'GF REPORT EXP-SUP'!F81</f>
        <v>812588.96</v>
      </c>
      <c r="K77" s="105"/>
      <c r="L77" s="105">
        <f t="shared" si="11"/>
        <v>1246159.06</v>
      </c>
      <c r="N77" s="3">
        <f t="shared" si="12"/>
        <v>0.60529945767719551</v>
      </c>
    </row>
    <row r="78" spans="4:14">
      <c r="D78" s="14" t="s">
        <v>63</v>
      </c>
      <c r="F78" s="105">
        <f>+'GF REPORT EXP-SUP'!B82</f>
        <v>9708167.0199999996</v>
      </c>
      <c r="G78" s="105">
        <f>+'GF REPORT EXP-SUP'!C82</f>
        <v>0</v>
      </c>
      <c r="H78" s="117">
        <f>+'GF REPORT EXP-SUP'!D82</f>
        <v>9821630.3000000007</v>
      </c>
      <c r="I78" s="117">
        <f>+'GF REPORT EXP-SUP'!E82</f>
        <v>0</v>
      </c>
      <c r="J78" s="117">
        <f>+'GF REPORT EXP-SUP'!F82</f>
        <v>4311273.72</v>
      </c>
      <c r="K78" s="105"/>
      <c r="L78" s="105">
        <f t="shared" si="11"/>
        <v>5510356.580000001</v>
      </c>
      <c r="N78" s="3">
        <f t="shared" si="12"/>
        <v>0.56104296452697888</v>
      </c>
    </row>
    <row r="79" spans="4:14">
      <c r="D79" s="14" t="s">
        <v>50</v>
      </c>
      <c r="F79" s="105">
        <f>+'GF REPORT EXP-SUP'!B83</f>
        <v>1800553.31</v>
      </c>
      <c r="G79" s="105">
        <f>+'GF REPORT EXP-SUP'!C83</f>
        <v>0</v>
      </c>
      <c r="H79" s="117">
        <f>+'GF REPORT EXP-SUP'!D83</f>
        <v>1833086.39</v>
      </c>
      <c r="I79" s="117">
        <f>+'GF REPORT EXP-SUP'!E83</f>
        <v>0</v>
      </c>
      <c r="J79" s="117">
        <f>+'GF REPORT EXP-SUP'!F83</f>
        <v>788930.82</v>
      </c>
      <c r="K79" s="105"/>
      <c r="L79" s="105">
        <f t="shared" si="11"/>
        <v>1044155.57</v>
      </c>
      <c r="N79" s="3">
        <f t="shared" si="12"/>
        <v>0.56961612703916265</v>
      </c>
    </row>
    <row r="80" spans="4:14" s="1" customFormat="1">
      <c r="E80" s="1" t="s">
        <v>121</v>
      </c>
      <c r="F80" s="114">
        <f>SUM(F54:F79)</f>
        <v>50629460.519999996</v>
      </c>
      <c r="G80" s="109"/>
      <c r="H80" s="124">
        <f>SUM(H54:H79)</f>
        <v>50939350.510000005</v>
      </c>
      <c r="I80" s="125"/>
      <c r="J80" s="124">
        <f>SUM(J54:J79)</f>
        <v>21895737.929999996</v>
      </c>
      <c r="K80" s="109"/>
      <c r="L80" s="114">
        <f>SUM(L54:L79)</f>
        <v>29043612.580000002</v>
      </c>
      <c r="N80" s="61">
        <f>IF(L80,L80/H80,0)</f>
        <v>0.57016063788050053</v>
      </c>
    </row>
    <row r="81" spans="3:19" ht="8.4" customHeight="1">
      <c r="F81" s="84"/>
      <c r="G81" s="84"/>
      <c r="H81" s="84"/>
      <c r="I81" s="84"/>
      <c r="J81" s="84"/>
      <c r="K81" s="2"/>
      <c r="L81" s="2"/>
      <c r="N81" s="3"/>
    </row>
    <row r="82" spans="3:19">
      <c r="C82" s="1" t="s">
        <v>122</v>
      </c>
      <c r="F82" s="84"/>
      <c r="G82" s="84"/>
      <c r="H82" s="84"/>
      <c r="I82" s="84"/>
      <c r="J82" s="84"/>
      <c r="K82" s="2"/>
      <c r="L82" s="2"/>
      <c r="N82" s="3"/>
    </row>
    <row r="83" spans="3:19">
      <c r="D83" s="14" t="s">
        <v>123</v>
      </c>
      <c r="F83" s="57">
        <f>+'GF REPORT EXP-SUP'!B88</f>
        <v>687666.62</v>
      </c>
      <c r="G83" s="57">
        <f>+'GF REPORT EXP-SUP'!C88</f>
        <v>0</v>
      </c>
      <c r="H83" s="116">
        <f>+'GF REPORT EXP-SUP'!D88</f>
        <v>709396.86</v>
      </c>
      <c r="I83" s="126">
        <f>+'GF REPORT EXP-SUP'!E88</f>
        <v>0</v>
      </c>
      <c r="J83" s="116">
        <f>+'GF REPORT EXP-SUP'!F88</f>
        <v>290528.62</v>
      </c>
      <c r="K83" s="69"/>
      <c r="L83" s="70">
        <f t="shared" ref="L83:L91" si="21">H83-J83</f>
        <v>418868.24</v>
      </c>
      <c r="N83" s="3">
        <f t="shared" ref="N83:N91" si="22">IF(H83,L83/H83,0)</f>
        <v>0.59045685654712365</v>
      </c>
    </row>
    <row r="84" spans="3:19">
      <c r="D84" s="14" t="s">
        <v>124</v>
      </c>
      <c r="F84" s="105">
        <f>+'GF REPORT EXP-SUP'!B89</f>
        <v>6251285.75</v>
      </c>
      <c r="G84" s="105">
        <f>+'GF REPORT EXP-SUP'!C89</f>
        <v>0</v>
      </c>
      <c r="H84" s="117">
        <f>+'GF REPORT EXP-SUP'!D89</f>
        <v>6251361.75</v>
      </c>
      <c r="I84" s="117">
        <f>+'GF REPORT EXP-SUP'!E89</f>
        <v>0</v>
      </c>
      <c r="J84" s="117">
        <f>+'GF REPORT EXP-SUP'!F89</f>
        <v>2571073.79</v>
      </c>
      <c r="K84" s="105"/>
      <c r="L84" s="105">
        <f t="shared" si="21"/>
        <v>3680287.96</v>
      </c>
      <c r="N84" s="3">
        <f t="shared" si="22"/>
        <v>0.58871780376491567</v>
      </c>
    </row>
    <row r="85" spans="3:19">
      <c r="D85" s="14" t="s">
        <v>149</v>
      </c>
      <c r="F85" s="105">
        <f>+'GF REPORT EXP-SUP'!B90</f>
        <v>2160</v>
      </c>
      <c r="G85" s="105">
        <f>+'GF REPORT EXP-SUP'!C90</f>
        <v>0</v>
      </c>
      <c r="H85" s="117">
        <f>+'GF REPORT EXP-SUP'!D90</f>
        <v>2160</v>
      </c>
      <c r="I85" s="117">
        <f>+'GF REPORT EXP-SUP'!E90</f>
        <v>0</v>
      </c>
      <c r="J85" s="117">
        <f>+'GF REPORT EXP-SUP'!F90</f>
        <v>470.74</v>
      </c>
      <c r="K85" s="105"/>
      <c r="L85" s="105">
        <f t="shared" si="21"/>
        <v>1689.26</v>
      </c>
      <c r="N85" s="3">
        <f t="shared" si="22"/>
        <v>0.78206481481481482</v>
      </c>
      <c r="S85" s="14" t="s">
        <v>43</v>
      </c>
    </row>
    <row r="86" spans="3:19">
      <c r="D86" s="14" t="s">
        <v>125</v>
      </c>
      <c r="F86" s="105">
        <f>+'GF REPORT EXP-SUP'!B91</f>
        <v>1924204.63</v>
      </c>
      <c r="G86" s="105">
        <f>+'GF REPORT EXP-SUP'!C91</f>
        <v>0</v>
      </c>
      <c r="H86" s="117">
        <f>+'GF REPORT EXP-SUP'!D91</f>
        <v>1924204.63</v>
      </c>
      <c r="I86" s="117">
        <f>+'GF REPORT EXP-SUP'!E91</f>
        <v>0</v>
      </c>
      <c r="J86" s="119">
        <f>+'GF REPORT EXP-SUP'!F91</f>
        <v>1784111.2</v>
      </c>
      <c r="K86" s="105"/>
      <c r="L86" s="105">
        <f t="shared" si="21"/>
        <v>140093.42999999993</v>
      </c>
      <c r="N86" s="3">
        <f t="shared" si="22"/>
        <v>7.2805889672970983E-2</v>
      </c>
    </row>
    <row r="87" spans="3:19">
      <c r="D87" s="14" t="s">
        <v>126</v>
      </c>
      <c r="F87" s="105">
        <f>+'GF REPORT EXP-SUP'!B92</f>
        <v>510073.07</v>
      </c>
      <c r="G87" s="105">
        <f>+'GF REPORT EXP-SUP'!C92</f>
        <v>0</v>
      </c>
      <c r="H87" s="117">
        <f>+'GF REPORT EXP-SUP'!D92</f>
        <v>510203</v>
      </c>
      <c r="I87" s="117">
        <f>+'GF REPORT EXP-SUP'!E92</f>
        <v>0</v>
      </c>
      <c r="J87" s="117">
        <f>+'GF REPORT EXP-SUP'!F92</f>
        <v>218751.8</v>
      </c>
      <c r="K87" s="105"/>
      <c r="L87" s="105">
        <f t="shared" si="21"/>
        <v>291451.2</v>
      </c>
      <c r="N87" s="3">
        <f t="shared" si="22"/>
        <v>0.57124556304059371</v>
      </c>
    </row>
    <row r="88" spans="3:19">
      <c r="D88" s="14" t="s">
        <v>127</v>
      </c>
      <c r="F88" s="105">
        <f>+'GF REPORT EXP-SUP'!B93</f>
        <v>5710980.9800000004</v>
      </c>
      <c r="G88" s="105">
        <f>+'GF REPORT EXP-SUP'!C93</f>
        <v>0</v>
      </c>
      <c r="H88" s="117">
        <f>+'GF REPORT EXP-SUP'!D93</f>
        <v>5724146.9699999997</v>
      </c>
      <c r="I88" s="117">
        <f>+'GF REPORT EXP-SUP'!E93</f>
        <v>0</v>
      </c>
      <c r="J88" s="117">
        <f>+'GF REPORT EXP-SUP'!F93</f>
        <v>2926371.17</v>
      </c>
      <c r="K88" s="105"/>
      <c r="L88" s="105">
        <f t="shared" si="21"/>
        <v>2797775.8</v>
      </c>
      <c r="N88" s="3">
        <f t="shared" si="22"/>
        <v>0.48876728963512267</v>
      </c>
    </row>
    <row r="89" spans="3:19">
      <c r="D89" s="14" t="s">
        <v>128</v>
      </c>
      <c r="F89" s="105">
        <f>+'GF REPORT EXP-SUP'!B94</f>
        <v>2182262.62</v>
      </c>
      <c r="G89" s="105">
        <f>+'GF REPORT EXP-SUP'!C94</f>
        <v>0</v>
      </c>
      <c r="H89" s="117">
        <f>+'GF REPORT EXP-SUP'!D94</f>
        <v>2182262.62</v>
      </c>
      <c r="I89" s="117">
        <f>+'GF REPORT EXP-SUP'!E94</f>
        <v>0</v>
      </c>
      <c r="J89" s="117">
        <f>+'GF REPORT EXP-SUP'!F94</f>
        <v>1080931.19</v>
      </c>
      <c r="K89" s="105"/>
      <c r="L89" s="105">
        <f t="shared" si="21"/>
        <v>1101331.4300000002</v>
      </c>
      <c r="N89" s="3">
        <f t="shared" si="22"/>
        <v>0.50467410288134806</v>
      </c>
    </row>
    <row r="90" spans="3:19">
      <c r="D90" s="14" t="s">
        <v>129</v>
      </c>
      <c r="F90" s="105">
        <f>+'GF REPORT EXP-SUP'!B95</f>
        <v>102500</v>
      </c>
      <c r="G90" s="105">
        <f>+'GF REPORT EXP-SUP'!C95</f>
        <v>0</v>
      </c>
      <c r="H90" s="117">
        <f>+'GF REPORT EXP-SUP'!D95</f>
        <v>102500</v>
      </c>
      <c r="I90" s="117">
        <f>+'GF REPORT EXP-SUP'!E95</f>
        <v>0</v>
      </c>
      <c r="J90" s="117">
        <f>+'GF REPORT EXP-SUP'!F95</f>
        <v>-17900</v>
      </c>
      <c r="K90" s="105"/>
      <c r="L90" s="105">
        <f t="shared" ref="L90" si="23">H90-J90</f>
        <v>120400</v>
      </c>
      <c r="N90" s="3">
        <f t="shared" si="22"/>
        <v>1.1746341463414633</v>
      </c>
    </row>
    <row r="91" spans="3:19">
      <c r="D91" s="14" t="s">
        <v>155</v>
      </c>
      <c r="F91" s="105">
        <f>+'GF REPORT EXP-SUP'!B96</f>
        <v>1305214.8</v>
      </c>
      <c r="G91" s="105">
        <f>+'GF REPORT EXP-SUP'!C96</f>
        <v>0</v>
      </c>
      <c r="H91" s="117">
        <f>+'GF REPORT EXP-SUP'!D96</f>
        <v>1328502.96</v>
      </c>
      <c r="I91" s="117">
        <f>+'GF REPORT EXP-SUP'!E96</f>
        <v>0</v>
      </c>
      <c r="J91" s="117">
        <f>+'GF REPORT EXP-SUP'!F96</f>
        <v>550037.36</v>
      </c>
      <c r="K91" s="105"/>
      <c r="L91" s="105">
        <f t="shared" si="21"/>
        <v>778465.6</v>
      </c>
      <c r="N91" s="3">
        <f t="shared" si="22"/>
        <v>0.58597204781538459</v>
      </c>
    </row>
    <row r="92" spans="3:19" s="1" customFormat="1">
      <c r="E92" s="1" t="s">
        <v>130</v>
      </c>
      <c r="F92" s="114">
        <f>SUM(F83:F91)</f>
        <v>18676348.470000003</v>
      </c>
      <c r="G92" s="109"/>
      <c r="H92" s="114">
        <f>SUM(H83:H91)</f>
        <v>18734738.790000003</v>
      </c>
      <c r="I92" s="109"/>
      <c r="J92" s="114">
        <f>SUM(J83:J91)</f>
        <v>9404375.8699999992</v>
      </c>
      <c r="K92" s="109"/>
      <c r="L92" s="114">
        <f>SUM(L83:L91)</f>
        <v>9330362.9199999999</v>
      </c>
      <c r="N92" s="61">
        <f>IF(L92,L92/H92,0)</f>
        <v>0.49802471358609202</v>
      </c>
    </row>
    <row r="93" spans="3:19" ht="8.4" customHeight="1">
      <c r="F93" s="55"/>
      <c r="G93" s="55"/>
      <c r="H93" s="55"/>
      <c r="I93" s="55"/>
      <c r="J93" s="55"/>
      <c r="K93" s="113"/>
      <c r="L93" s="113"/>
      <c r="N93" s="3"/>
    </row>
    <row r="94" spans="3:19" s="1" customFormat="1" ht="13.8" thickBot="1">
      <c r="E94" s="1" t="s">
        <v>81</v>
      </c>
      <c r="F94" s="112">
        <f>+F92+F80+F51+F31</f>
        <v>401201231.89999998</v>
      </c>
      <c r="G94" s="109"/>
      <c r="H94" s="112">
        <f>+H92+H80+H51+H31</f>
        <v>466787385.86000001</v>
      </c>
      <c r="I94" s="109"/>
      <c r="J94" s="112">
        <f>+J92+J80+J51+J31</f>
        <v>197752654.44</v>
      </c>
      <c r="K94" s="109"/>
      <c r="L94" s="112">
        <f>+L92+L80+L51+L31</f>
        <v>269034731.42000002</v>
      </c>
      <c r="N94" s="8">
        <f>IF(L94,L94/H94,0)</f>
        <v>0.57635390237535156</v>
      </c>
    </row>
    <row r="95" spans="3:19" ht="13.8" thickTop="1">
      <c r="H95" s="83" t="s">
        <v>43</v>
      </c>
    </row>
    <row r="96" spans="3:19">
      <c r="H96" s="14" t="s">
        <v>43</v>
      </c>
      <c r="L96" s="14" t="s">
        <v>43</v>
      </c>
    </row>
    <row r="107" spans="10:10">
      <c r="J107" s="79" t="s">
        <v>43</v>
      </c>
    </row>
  </sheetData>
  <mergeCells count="4">
    <mergeCell ref="B3:N3"/>
    <mergeCell ref="B4:N4"/>
    <mergeCell ref="B5:N5"/>
    <mergeCell ref="B6:N6"/>
  </mergeCells>
  <phoneticPr fontId="11" type="noConversion"/>
  <printOptions horizontalCentered="1"/>
  <pageMargins left="0.75" right="0.75" top="0.71" bottom="0.55000000000000004" header="0.5" footer="0.16"/>
  <pageSetup fitToHeight="0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82B2E-1D96-4B0E-AA1E-C4AEFE61A2D4}">
  <sheetPr>
    <tabColor rgb="FFFFFF00"/>
  </sheetPr>
  <dimension ref="A1:T102"/>
  <sheetViews>
    <sheetView zoomScale="85" zoomScaleNormal="85" workbookViewId="0"/>
  </sheetViews>
  <sheetFormatPr defaultRowHeight="13.2"/>
  <cols>
    <col min="1" max="1" width="42.44140625" bestFit="1" customWidth="1"/>
    <col min="2" max="2" width="22" bestFit="1" customWidth="1"/>
    <col min="3" max="3" width="22" customWidth="1"/>
    <col min="4" max="4" width="22" bestFit="1" customWidth="1"/>
    <col min="5" max="5" width="22" customWidth="1"/>
    <col min="6" max="6" width="22" bestFit="1" customWidth="1"/>
    <col min="7" max="7" width="22" customWidth="1"/>
    <col min="8" max="8" width="22" bestFit="1" customWidth="1"/>
    <col min="9" max="9" width="10.6640625" bestFit="1" customWidth="1"/>
    <col min="12" max="12" width="21" customWidth="1"/>
    <col min="13" max="13" width="2.6640625" customWidth="1"/>
    <col min="14" max="14" width="22" bestFit="1" customWidth="1"/>
    <col min="15" max="15" width="2.6640625" customWidth="1"/>
    <col min="16" max="16" width="22" bestFit="1" customWidth="1"/>
    <col min="17" max="17" width="2.6640625" customWidth="1"/>
    <col min="18" max="18" width="22" bestFit="1" customWidth="1"/>
    <col min="19" max="19" width="22" customWidth="1"/>
    <col min="20" max="20" width="22" bestFit="1" customWidth="1"/>
    <col min="21" max="21" width="10.6640625" bestFit="1" customWidth="1"/>
  </cols>
  <sheetData>
    <row r="1" spans="1:20">
      <c r="A1" s="128"/>
      <c r="B1" t="s">
        <v>174</v>
      </c>
      <c r="D1" t="s">
        <v>175</v>
      </c>
      <c r="H1" t="s">
        <v>449</v>
      </c>
      <c r="I1" t="s">
        <v>470</v>
      </c>
      <c r="K1" s="128"/>
      <c r="L1" s="128"/>
      <c r="M1" s="128"/>
    </row>
    <row r="2" spans="1:20">
      <c r="A2" s="128"/>
      <c r="B2" t="s">
        <v>176</v>
      </c>
      <c r="D2" t="s">
        <v>177</v>
      </c>
      <c r="I2" t="s">
        <v>178</v>
      </c>
      <c r="K2" s="128"/>
      <c r="L2" s="128"/>
      <c r="M2" s="128"/>
    </row>
    <row r="3" spans="1:20">
      <c r="A3" s="128"/>
      <c r="B3" t="s">
        <v>179</v>
      </c>
      <c r="D3" t="s">
        <v>467</v>
      </c>
      <c r="K3" s="128"/>
      <c r="L3" s="128"/>
      <c r="M3" s="128"/>
    </row>
    <row r="4" spans="1:20">
      <c r="A4" s="128"/>
      <c r="K4" s="128"/>
      <c r="L4" s="128"/>
      <c r="M4" s="128"/>
    </row>
    <row r="5" spans="1:20">
      <c r="A5" s="128" t="s">
        <v>180</v>
      </c>
      <c r="K5" s="128"/>
      <c r="L5" s="128"/>
      <c r="M5" s="128"/>
    </row>
    <row r="6" spans="1:20">
      <c r="A6" s="128" t="s">
        <v>181</v>
      </c>
      <c r="B6" t="s">
        <v>182</v>
      </c>
      <c r="D6" t="s">
        <v>183</v>
      </c>
      <c r="F6" t="s">
        <v>184</v>
      </c>
      <c r="K6" s="128"/>
      <c r="L6" s="128"/>
      <c r="M6" s="128"/>
    </row>
    <row r="7" spans="1:20">
      <c r="A7" s="128"/>
      <c r="B7" t="s">
        <v>185</v>
      </c>
      <c r="D7" t="s">
        <v>186</v>
      </c>
      <c r="F7" t="s">
        <v>233</v>
      </c>
      <c r="H7" t="s">
        <v>234</v>
      </c>
      <c r="I7" t="s">
        <v>235</v>
      </c>
      <c r="K7" s="128"/>
      <c r="L7" s="128"/>
      <c r="M7" s="128"/>
    </row>
    <row r="8" spans="1:20">
      <c r="A8" s="128"/>
      <c r="B8" t="s">
        <v>189</v>
      </c>
      <c r="D8" t="s">
        <v>189</v>
      </c>
      <c r="F8" t="s">
        <v>236</v>
      </c>
      <c r="H8" t="s">
        <v>237</v>
      </c>
      <c r="K8" s="128"/>
      <c r="L8" s="128"/>
      <c r="M8" s="128"/>
    </row>
    <row r="9" spans="1:20">
      <c r="A9" s="128"/>
      <c r="B9" t="s">
        <v>192</v>
      </c>
      <c r="D9" t="s">
        <v>192</v>
      </c>
      <c r="F9" t="s">
        <v>192</v>
      </c>
      <c r="H9" t="s">
        <v>192</v>
      </c>
      <c r="I9" t="s">
        <v>238</v>
      </c>
      <c r="K9" s="128"/>
      <c r="L9" s="128"/>
      <c r="M9" s="128"/>
    </row>
    <row r="10" spans="1:20">
      <c r="A10" s="128" t="s">
        <v>232</v>
      </c>
      <c r="K10" s="128"/>
      <c r="L10" s="128"/>
      <c r="M10" s="128"/>
    </row>
    <row r="11" spans="1:20">
      <c r="A11" s="128" t="s">
        <v>239</v>
      </c>
      <c r="K11" s="128"/>
      <c r="L11" s="128"/>
      <c r="M11" s="128"/>
    </row>
    <row r="12" spans="1:20">
      <c r="A12" s="128" t="s">
        <v>240</v>
      </c>
      <c r="B12" s="137">
        <v>555861.91</v>
      </c>
      <c r="C12" s="137"/>
      <c r="D12" s="2">
        <v>508813.89</v>
      </c>
      <c r="E12" s="2"/>
      <c r="F12" s="2">
        <v>202982.87</v>
      </c>
      <c r="G12" s="2"/>
      <c r="H12" s="2">
        <v>305831.02</v>
      </c>
      <c r="I12" s="2">
        <v>60</v>
      </c>
      <c r="K12" s="128"/>
      <c r="L12" s="137"/>
      <c r="M12" s="137"/>
      <c r="N12" s="2"/>
      <c r="O12" s="2"/>
      <c r="P12" s="2"/>
      <c r="Q12" s="2"/>
      <c r="R12" s="2"/>
      <c r="S12" s="2"/>
      <c r="T12" s="2"/>
    </row>
    <row r="13" spans="1:20">
      <c r="A13" s="128" t="s">
        <v>241</v>
      </c>
      <c r="B13" s="137">
        <v>989972.41</v>
      </c>
      <c r="C13" s="137"/>
      <c r="D13" s="2">
        <v>1001251.37</v>
      </c>
      <c r="E13" s="2"/>
      <c r="F13" s="2">
        <v>415401.29</v>
      </c>
      <c r="G13" s="2"/>
      <c r="H13" s="2">
        <v>585850.07999999996</v>
      </c>
      <c r="I13" s="2">
        <v>59</v>
      </c>
      <c r="K13" s="128"/>
      <c r="L13" s="137"/>
      <c r="M13" s="137"/>
      <c r="N13" s="2"/>
      <c r="O13" s="2"/>
      <c r="P13" s="2"/>
      <c r="Q13" s="2"/>
      <c r="R13" s="2"/>
      <c r="S13" s="2"/>
      <c r="T13" s="2"/>
    </row>
    <row r="14" spans="1:20">
      <c r="A14" s="128" t="s">
        <v>242</v>
      </c>
      <c r="B14" s="137">
        <v>434044.46</v>
      </c>
      <c r="C14" s="137"/>
      <c r="D14" s="2">
        <v>434062.44</v>
      </c>
      <c r="E14" s="2"/>
      <c r="F14" s="2">
        <v>194453.63</v>
      </c>
      <c r="G14" s="2"/>
      <c r="H14" s="2">
        <v>239608.81</v>
      </c>
      <c r="I14" s="2">
        <v>55</v>
      </c>
      <c r="K14" s="128"/>
      <c r="L14" s="137"/>
      <c r="M14" s="137"/>
      <c r="N14" s="2"/>
      <c r="O14" s="2"/>
      <c r="P14" s="2"/>
      <c r="Q14" s="2"/>
      <c r="R14" s="2"/>
      <c r="S14" s="2"/>
      <c r="T14" s="2"/>
    </row>
    <row r="15" spans="1:20">
      <c r="A15" s="128" t="s">
        <v>243</v>
      </c>
      <c r="B15" s="137">
        <v>442151.64</v>
      </c>
      <c r="C15" s="137"/>
      <c r="D15" s="2">
        <v>442165.23</v>
      </c>
      <c r="E15" s="2"/>
      <c r="F15" s="2">
        <v>199741.2</v>
      </c>
      <c r="G15" s="2"/>
      <c r="H15" s="2">
        <v>242424.03</v>
      </c>
      <c r="I15" s="2">
        <v>55</v>
      </c>
      <c r="K15" s="128"/>
      <c r="L15" s="137"/>
      <c r="M15" s="137"/>
      <c r="N15" s="2"/>
      <c r="O15" s="2"/>
      <c r="P15" s="2"/>
      <c r="Q15" s="2"/>
      <c r="R15" s="2"/>
      <c r="S15" s="2"/>
      <c r="T15" s="2"/>
    </row>
    <row r="16" spans="1:20">
      <c r="A16" s="128" t="s">
        <v>244</v>
      </c>
      <c r="B16" s="137">
        <v>445488.18</v>
      </c>
      <c r="C16" s="137"/>
      <c r="D16" s="2">
        <v>445509.95</v>
      </c>
      <c r="E16" s="2"/>
      <c r="F16" s="2">
        <v>200777.12</v>
      </c>
      <c r="G16" s="2"/>
      <c r="H16" s="2">
        <v>244732.83</v>
      </c>
      <c r="I16" s="2">
        <v>55</v>
      </c>
      <c r="K16" s="128"/>
      <c r="L16" s="137"/>
      <c r="M16" s="137"/>
      <c r="N16" s="2"/>
      <c r="O16" s="2"/>
      <c r="P16" s="2"/>
      <c r="Q16" s="2"/>
      <c r="R16" s="2"/>
      <c r="S16" s="2"/>
      <c r="T16" s="2"/>
    </row>
    <row r="17" spans="1:20">
      <c r="A17" s="128" t="s">
        <v>245</v>
      </c>
      <c r="B17" s="137">
        <v>400684.82</v>
      </c>
      <c r="C17" s="137"/>
      <c r="D17" s="2">
        <v>400705.91</v>
      </c>
      <c r="E17" s="2"/>
      <c r="F17" s="2">
        <v>177632.57</v>
      </c>
      <c r="G17" s="2"/>
      <c r="H17" s="2">
        <v>223073.34</v>
      </c>
      <c r="I17" s="2">
        <v>56</v>
      </c>
      <c r="K17" s="128"/>
      <c r="L17" s="137"/>
      <c r="M17" s="137"/>
      <c r="N17" s="2"/>
      <c r="O17" s="2"/>
      <c r="P17" s="2"/>
      <c r="Q17" s="2"/>
      <c r="R17" s="2"/>
      <c r="S17" s="2"/>
      <c r="T17" s="2"/>
    </row>
    <row r="18" spans="1:20">
      <c r="A18" s="128" t="s">
        <v>200</v>
      </c>
      <c r="B18" s="137">
        <v>1049491.9099999999</v>
      </c>
      <c r="C18" s="137"/>
      <c r="D18" s="2">
        <v>1017058.15</v>
      </c>
      <c r="E18" s="2"/>
      <c r="F18" s="2">
        <v>418880.09</v>
      </c>
      <c r="G18" s="2"/>
      <c r="H18" s="2">
        <v>598178.06000000006</v>
      </c>
      <c r="I18" s="2">
        <v>59</v>
      </c>
      <c r="K18" s="128"/>
      <c r="L18" s="137"/>
      <c r="M18" s="137"/>
      <c r="N18" s="2"/>
      <c r="O18" s="2"/>
      <c r="P18" s="2"/>
      <c r="Q18" s="2"/>
      <c r="R18" s="2"/>
      <c r="S18" s="2"/>
      <c r="T18" s="2"/>
    </row>
    <row r="19" spans="1:20">
      <c r="A19" s="128" t="s">
        <v>246</v>
      </c>
      <c r="B19" s="137">
        <v>82995965.439999998</v>
      </c>
      <c r="C19" s="137"/>
      <c r="D19" s="2">
        <v>148276165.53999999</v>
      </c>
      <c r="E19" s="2"/>
      <c r="F19" s="2">
        <v>36037608.520000003</v>
      </c>
      <c r="G19" s="2"/>
      <c r="H19" s="2">
        <v>112238557.02</v>
      </c>
      <c r="I19" s="2">
        <v>76</v>
      </c>
      <c r="K19" s="128"/>
      <c r="L19" s="137"/>
      <c r="M19" s="137"/>
      <c r="N19" s="2"/>
      <c r="O19" s="2"/>
      <c r="P19" s="2"/>
      <c r="Q19" s="2"/>
      <c r="R19" s="2"/>
      <c r="S19" s="2"/>
      <c r="T19" s="2"/>
    </row>
    <row r="20" spans="1:20">
      <c r="A20" s="128" t="s">
        <v>247</v>
      </c>
      <c r="B20" s="137">
        <v>4191718.14</v>
      </c>
      <c r="C20" s="137"/>
      <c r="D20" s="2">
        <v>4191939.71</v>
      </c>
      <c r="E20" s="2"/>
      <c r="F20" s="2">
        <v>1759347.48</v>
      </c>
      <c r="G20" s="2"/>
      <c r="H20" s="2">
        <v>2432592.23</v>
      </c>
      <c r="I20" s="2">
        <v>58</v>
      </c>
      <c r="K20" s="128"/>
      <c r="L20" s="137"/>
      <c r="M20" s="137"/>
      <c r="N20" s="2"/>
      <c r="O20" s="2"/>
      <c r="P20" s="2"/>
      <c r="Q20" s="2"/>
      <c r="R20" s="2"/>
      <c r="S20" s="2"/>
      <c r="T20" s="2"/>
    </row>
    <row r="21" spans="1:20">
      <c r="A21" s="128" t="s">
        <v>450</v>
      </c>
      <c r="B21" s="137">
        <v>578368.05000000005</v>
      </c>
      <c r="C21" s="137"/>
      <c r="D21" s="2">
        <v>584343.84</v>
      </c>
      <c r="E21" s="2"/>
      <c r="F21" s="2">
        <v>239822.58</v>
      </c>
      <c r="G21" s="2"/>
      <c r="H21" s="2">
        <v>344521.26</v>
      </c>
      <c r="I21" s="2">
        <v>59</v>
      </c>
      <c r="K21" s="128"/>
      <c r="L21" s="137"/>
      <c r="M21" s="137"/>
      <c r="N21" s="2"/>
      <c r="O21" s="2"/>
      <c r="P21" s="2"/>
      <c r="Q21" s="2"/>
      <c r="R21" s="2"/>
      <c r="S21" s="2"/>
      <c r="T21" s="2"/>
    </row>
    <row r="22" spans="1:20">
      <c r="A22" s="128" t="s">
        <v>248</v>
      </c>
      <c r="B22" s="137">
        <v>729108.21</v>
      </c>
      <c r="C22" s="137"/>
      <c r="D22" s="2">
        <v>729130.23</v>
      </c>
      <c r="E22" s="2"/>
      <c r="F22" s="2">
        <v>301673.46000000002</v>
      </c>
      <c r="G22" s="2"/>
      <c r="H22" s="2">
        <v>427456.77</v>
      </c>
      <c r="I22" s="2">
        <v>59</v>
      </c>
      <c r="K22" s="128"/>
      <c r="L22" s="137"/>
      <c r="M22" s="137"/>
      <c r="N22" s="2"/>
      <c r="O22" s="2"/>
      <c r="P22" s="2"/>
      <c r="Q22" s="2"/>
      <c r="R22" s="2"/>
      <c r="S22" s="2"/>
      <c r="T22" s="2"/>
    </row>
    <row r="23" spans="1:20">
      <c r="A23" s="128" t="s">
        <v>249</v>
      </c>
      <c r="B23" s="137">
        <v>698663.32</v>
      </c>
      <c r="C23" s="137"/>
      <c r="D23" s="2">
        <v>703427.01</v>
      </c>
      <c r="E23" s="2"/>
      <c r="F23" s="2">
        <v>309273.96999999997</v>
      </c>
      <c r="G23" s="2"/>
      <c r="H23" s="2">
        <v>394153.04</v>
      </c>
      <c r="I23" s="2">
        <v>56</v>
      </c>
      <c r="K23" s="128"/>
      <c r="L23" s="137"/>
      <c r="M23" s="137"/>
      <c r="N23" s="2"/>
      <c r="O23" s="2"/>
      <c r="P23" s="2"/>
      <c r="Q23" s="2"/>
      <c r="R23" s="2"/>
      <c r="S23" s="2"/>
      <c r="T23" s="2"/>
    </row>
    <row r="24" spans="1:20">
      <c r="A24" s="128" t="s">
        <v>201</v>
      </c>
      <c r="B24" s="137">
        <v>6063453.4500000002</v>
      </c>
      <c r="C24" s="137"/>
      <c r="D24" s="2">
        <v>6063731.9100000001</v>
      </c>
      <c r="E24" s="2"/>
      <c r="F24" s="2">
        <v>2734008.3199999998</v>
      </c>
      <c r="G24" s="2"/>
      <c r="H24" s="2">
        <v>3329723.59</v>
      </c>
      <c r="I24" s="2">
        <v>55</v>
      </c>
      <c r="K24" s="128"/>
      <c r="L24" s="137"/>
      <c r="M24" s="137"/>
      <c r="N24" s="2"/>
      <c r="O24" s="2"/>
      <c r="P24" s="2"/>
      <c r="Q24" s="2"/>
      <c r="R24" s="2"/>
      <c r="S24" s="2"/>
      <c r="T24" s="2"/>
    </row>
    <row r="25" spans="1:20">
      <c r="A25" s="128" t="s">
        <v>250</v>
      </c>
      <c r="B25" s="137">
        <v>423575.19</v>
      </c>
      <c r="C25" s="137"/>
      <c r="D25" s="2">
        <v>406783.22</v>
      </c>
      <c r="E25" s="2"/>
      <c r="F25" s="2">
        <v>180790.64</v>
      </c>
      <c r="G25" s="2"/>
      <c r="H25" s="2">
        <v>225992.58</v>
      </c>
      <c r="I25" s="2">
        <v>56</v>
      </c>
      <c r="K25" s="128"/>
      <c r="L25" s="137"/>
      <c r="M25" s="137"/>
      <c r="N25" s="2"/>
      <c r="O25" s="2"/>
      <c r="P25" s="2"/>
      <c r="Q25" s="2"/>
      <c r="R25" s="2"/>
      <c r="S25" s="2"/>
      <c r="T25" s="2"/>
    </row>
    <row r="26" spans="1:20">
      <c r="A26" s="128" t="s">
        <v>251</v>
      </c>
      <c r="B26" s="137">
        <v>23643885.309999999</v>
      </c>
      <c r="C26" s="137"/>
      <c r="D26" s="2">
        <v>23693148.550000001</v>
      </c>
      <c r="E26" s="2"/>
      <c r="F26" s="2">
        <v>13784107.74</v>
      </c>
      <c r="G26" s="2"/>
      <c r="H26" s="2">
        <v>9909040.8100000005</v>
      </c>
      <c r="I26" s="2">
        <v>42</v>
      </c>
      <c r="K26" s="128"/>
      <c r="L26" s="137"/>
      <c r="M26" s="137"/>
      <c r="N26" s="2"/>
      <c r="O26" s="2"/>
      <c r="P26" s="2"/>
      <c r="Q26" s="2"/>
      <c r="R26" s="2"/>
      <c r="S26" s="2"/>
      <c r="T26" s="2"/>
    </row>
    <row r="27" spans="1:20">
      <c r="A27" s="128" t="s">
        <v>252</v>
      </c>
      <c r="B27" s="137">
        <v>23586194.57</v>
      </c>
      <c r="C27" s="137"/>
      <c r="D27" s="2">
        <v>23558170.59</v>
      </c>
      <c r="E27" s="2"/>
      <c r="F27" s="2">
        <v>15177930.800000001</v>
      </c>
      <c r="G27" s="2"/>
      <c r="H27" s="2">
        <v>8380239.79</v>
      </c>
      <c r="I27" s="2">
        <v>36</v>
      </c>
      <c r="K27" s="128"/>
      <c r="L27" s="137"/>
      <c r="M27" s="137"/>
      <c r="N27" s="2"/>
      <c r="O27" s="2"/>
      <c r="P27" s="2"/>
      <c r="Q27" s="2"/>
      <c r="R27" s="2"/>
      <c r="S27" s="2"/>
      <c r="T27" s="2"/>
    </row>
    <row r="28" spans="1:20">
      <c r="A28" s="128" t="s">
        <v>253</v>
      </c>
      <c r="B28" s="137">
        <v>1745999.63</v>
      </c>
      <c r="C28" s="137"/>
      <c r="D28" s="2">
        <v>1750166.5</v>
      </c>
      <c r="E28" s="2"/>
      <c r="F28" s="2">
        <v>788607.49</v>
      </c>
      <c r="G28" s="2"/>
      <c r="H28" s="2">
        <v>961559.01</v>
      </c>
      <c r="I28" s="2">
        <v>55</v>
      </c>
      <c r="K28" s="128"/>
      <c r="L28" s="137"/>
      <c r="M28" s="137"/>
      <c r="N28" s="2"/>
      <c r="O28" s="2"/>
      <c r="P28" s="2"/>
      <c r="Q28" s="2"/>
      <c r="R28" s="2"/>
      <c r="S28" s="2"/>
      <c r="T28" s="2"/>
    </row>
    <row r="29" spans="1:20">
      <c r="A29" s="128" t="s">
        <v>254</v>
      </c>
      <c r="B29" s="137">
        <v>3556650.81</v>
      </c>
      <c r="C29" s="137"/>
      <c r="D29" s="2">
        <v>3560319.56</v>
      </c>
      <c r="E29" s="2"/>
      <c r="F29" s="2">
        <v>2045521.57</v>
      </c>
      <c r="G29" s="2"/>
      <c r="H29" s="2">
        <v>1514797.99</v>
      </c>
      <c r="I29" s="2">
        <v>43</v>
      </c>
      <c r="K29" s="128"/>
      <c r="L29" s="137"/>
      <c r="M29" s="137"/>
      <c r="N29" s="2"/>
      <c r="O29" s="2"/>
      <c r="P29" s="2"/>
      <c r="Q29" s="2"/>
      <c r="R29" s="2"/>
      <c r="S29" s="2"/>
      <c r="T29" s="2"/>
    </row>
    <row r="30" spans="1:20">
      <c r="A30" s="128" t="s">
        <v>255</v>
      </c>
      <c r="B30" s="137">
        <v>652593.75</v>
      </c>
      <c r="C30" s="137"/>
      <c r="D30" s="2">
        <v>655683.46</v>
      </c>
      <c r="E30" s="2"/>
      <c r="F30" s="2">
        <v>256487.92</v>
      </c>
      <c r="G30" s="2"/>
      <c r="H30" s="2">
        <v>399195.54</v>
      </c>
      <c r="I30" s="2">
        <v>61</v>
      </c>
      <c r="K30" s="128"/>
      <c r="L30" s="137"/>
      <c r="M30" s="137"/>
      <c r="N30" s="2"/>
      <c r="O30" s="2"/>
      <c r="P30" s="2"/>
      <c r="Q30" s="2"/>
      <c r="R30" s="2"/>
      <c r="S30" s="2"/>
      <c r="T30" s="2"/>
    </row>
    <row r="31" spans="1:20">
      <c r="A31" s="128" t="s">
        <v>20</v>
      </c>
      <c r="B31" s="137">
        <v>1553614.15</v>
      </c>
      <c r="C31" s="137"/>
      <c r="D31" s="2">
        <v>1557141.45</v>
      </c>
      <c r="E31" s="2"/>
      <c r="F31" s="2">
        <v>655912.14</v>
      </c>
      <c r="G31" s="2"/>
      <c r="H31" s="2">
        <v>901229.31</v>
      </c>
      <c r="I31" s="2">
        <v>58</v>
      </c>
      <c r="K31" s="128"/>
      <c r="L31" s="137"/>
      <c r="M31" s="137"/>
      <c r="N31" s="2"/>
      <c r="O31" s="2"/>
      <c r="P31" s="2"/>
      <c r="Q31" s="2"/>
      <c r="R31" s="2"/>
      <c r="S31" s="2"/>
      <c r="T31" s="2"/>
    </row>
    <row r="32" spans="1:20">
      <c r="A32" s="128" t="s">
        <v>256</v>
      </c>
      <c r="B32" s="137">
        <v>554123.06000000006</v>
      </c>
      <c r="C32" s="137"/>
      <c r="D32" s="2">
        <v>555157.11</v>
      </c>
      <c r="E32" s="2"/>
      <c r="F32" s="2">
        <v>265725.06</v>
      </c>
      <c r="G32" s="2"/>
      <c r="H32" s="2">
        <v>289432.05</v>
      </c>
      <c r="I32" s="2">
        <v>52</v>
      </c>
      <c r="K32" s="128"/>
      <c r="L32" s="137"/>
      <c r="M32" s="137"/>
      <c r="N32" s="2"/>
      <c r="O32" s="2"/>
      <c r="P32" s="2"/>
      <c r="Q32" s="2"/>
      <c r="R32" s="2"/>
      <c r="S32" s="2"/>
      <c r="T32" s="2"/>
    </row>
    <row r="33" spans="1:20">
      <c r="A33" s="128"/>
      <c r="B33" s="128" t="s">
        <v>196</v>
      </c>
      <c r="C33" s="128"/>
      <c r="D33" t="s">
        <v>196</v>
      </c>
      <c r="F33" t="s">
        <v>196</v>
      </c>
      <c r="H33" t="s">
        <v>196</v>
      </c>
      <c r="I33" t="s">
        <v>257</v>
      </c>
      <c r="K33" s="128"/>
      <c r="L33" s="128"/>
      <c r="M33" s="128"/>
    </row>
    <row r="34" spans="1:20">
      <c r="A34" s="128" t="s">
        <v>258</v>
      </c>
      <c r="B34" s="137">
        <v>155291608.41</v>
      </c>
      <c r="C34" s="137"/>
      <c r="D34" s="2">
        <v>220534875.62</v>
      </c>
      <c r="E34" s="2"/>
      <c r="F34" s="2">
        <v>76346686.459999993</v>
      </c>
      <c r="G34" s="2"/>
      <c r="H34" s="2">
        <v>144188189.16</v>
      </c>
      <c r="I34" s="2">
        <v>65</v>
      </c>
      <c r="K34" s="128"/>
      <c r="L34" s="137"/>
      <c r="M34" s="137"/>
      <c r="N34" s="2"/>
      <c r="O34" s="2"/>
      <c r="P34" s="2"/>
      <c r="Q34" s="2"/>
      <c r="R34" s="2"/>
      <c r="S34" s="2"/>
      <c r="T34" s="2"/>
    </row>
    <row r="35" spans="1:20">
      <c r="A35" s="128"/>
      <c r="B35" s="128" t="s">
        <v>196</v>
      </c>
      <c r="C35" s="128"/>
      <c r="D35" t="s">
        <v>196</v>
      </c>
      <c r="F35" t="s">
        <v>196</v>
      </c>
      <c r="H35" t="s">
        <v>196</v>
      </c>
      <c r="I35" t="s">
        <v>257</v>
      </c>
      <c r="K35" s="128"/>
      <c r="L35" s="128"/>
      <c r="M35" s="128"/>
    </row>
    <row r="36" spans="1:20">
      <c r="A36" s="128" t="s">
        <v>259</v>
      </c>
      <c r="B36" s="128"/>
      <c r="C36" s="128"/>
      <c r="K36" s="128"/>
      <c r="L36" s="128"/>
      <c r="M36" s="128"/>
    </row>
    <row r="37" spans="1:20">
      <c r="A37" s="128" t="s">
        <v>207</v>
      </c>
      <c r="B37" s="137">
        <v>2515986.4300000002</v>
      </c>
      <c r="C37" s="137"/>
      <c r="D37" s="2">
        <v>2527741.96</v>
      </c>
      <c r="E37" s="2"/>
      <c r="F37" s="2">
        <v>1267665.25</v>
      </c>
      <c r="G37" s="2"/>
      <c r="H37" s="2">
        <v>1260076.71</v>
      </c>
      <c r="I37" s="2">
        <v>50</v>
      </c>
      <c r="K37" s="128"/>
      <c r="L37" s="137"/>
      <c r="M37" s="137"/>
      <c r="N37" s="2"/>
      <c r="O37" s="2"/>
      <c r="P37" s="2"/>
      <c r="Q37" s="2"/>
      <c r="R37" s="2"/>
      <c r="S37" s="2"/>
      <c r="T37" s="2"/>
    </row>
    <row r="38" spans="1:20">
      <c r="A38" s="128" t="s">
        <v>208</v>
      </c>
      <c r="B38" s="137">
        <v>2304844.4300000002</v>
      </c>
      <c r="C38" s="137"/>
      <c r="D38" s="2">
        <v>2317960.35</v>
      </c>
      <c r="E38" s="2"/>
      <c r="F38" s="2">
        <v>1131633.27</v>
      </c>
      <c r="G38" s="2"/>
      <c r="H38" s="2">
        <v>1186327.08</v>
      </c>
      <c r="I38" s="2">
        <v>51</v>
      </c>
      <c r="K38" s="128"/>
      <c r="L38" s="137"/>
      <c r="M38" s="137"/>
      <c r="N38" s="2"/>
      <c r="O38" s="2"/>
      <c r="P38" s="2"/>
      <c r="Q38" s="2"/>
      <c r="R38" s="2"/>
      <c r="S38" s="2"/>
      <c r="T38" s="2"/>
    </row>
    <row r="39" spans="1:20">
      <c r="A39" s="128" t="s">
        <v>209</v>
      </c>
      <c r="B39" s="137">
        <v>2471269.37</v>
      </c>
      <c r="C39" s="137"/>
      <c r="D39" s="2">
        <v>2484544.58</v>
      </c>
      <c r="E39" s="2"/>
      <c r="F39" s="2">
        <v>1243157.71</v>
      </c>
      <c r="G39" s="2"/>
      <c r="H39" s="2">
        <v>1241386.8700000001</v>
      </c>
      <c r="I39" s="2">
        <v>50</v>
      </c>
      <c r="K39" s="128"/>
      <c r="L39" s="137"/>
      <c r="M39" s="137"/>
      <c r="N39" s="2"/>
      <c r="O39" s="2"/>
      <c r="P39" s="2"/>
      <c r="Q39" s="2"/>
      <c r="R39" s="2"/>
      <c r="S39" s="2"/>
      <c r="T39" s="2"/>
    </row>
    <row r="40" spans="1:20">
      <c r="A40" s="128" t="s">
        <v>210</v>
      </c>
      <c r="B40" s="137">
        <v>2788331.61</v>
      </c>
      <c r="C40" s="137"/>
      <c r="D40" s="2">
        <v>2803877.37</v>
      </c>
      <c r="E40" s="2"/>
      <c r="F40" s="2">
        <v>1425037.95</v>
      </c>
      <c r="G40" s="2"/>
      <c r="H40" s="2">
        <v>1378839.42</v>
      </c>
      <c r="I40" s="2">
        <v>49</v>
      </c>
      <c r="K40" s="128"/>
      <c r="L40" s="137"/>
      <c r="M40" s="137"/>
      <c r="N40" s="2"/>
      <c r="O40" s="2"/>
      <c r="P40" s="2"/>
      <c r="Q40" s="2"/>
      <c r="R40" s="2"/>
      <c r="S40" s="2"/>
      <c r="T40" s="2"/>
    </row>
    <row r="41" spans="1:20">
      <c r="A41" s="128" t="s">
        <v>199</v>
      </c>
      <c r="B41" s="137">
        <v>49212447.25</v>
      </c>
      <c r="C41" s="137"/>
      <c r="D41" s="2">
        <v>48798834.520000003</v>
      </c>
      <c r="E41" s="2"/>
      <c r="F41" s="2">
        <v>27133695.82</v>
      </c>
      <c r="G41" s="2"/>
      <c r="H41" s="2">
        <v>21665138.699999999</v>
      </c>
      <c r="I41" s="2">
        <v>44</v>
      </c>
      <c r="K41" s="128"/>
      <c r="L41" s="137"/>
      <c r="M41" s="137"/>
      <c r="N41" s="2"/>
      <c r="O41" s="2"/>
      <c r="P41" s="2"/>
      <c r="Q41" s="2"/>
      <c r="R41" s="2"/>
      <c r="S41" s="2"/>
      <c r="T41" s="2"/>
    </row>
    <row r="42" spans="1:20">
      <c r="A42" s="128" t="s">
        <v>165</v>
      </c>
      <c r="B42" s="137">
        <v>534031.85</v>
      </c>
      <c r="C42" s="137"/>
      <c r="D42" s="2">
        <v>537352.18000000005</v>
      </c>
      <c r="E42" s="2"/>
      <c r="F42" s="2">
        <v>223776.88</v>
      </c>
      <c r="G42" s="2"/>
      <c r="H42" s="2">
        <v>313575.3</v>
      </c>
      <c r="I42" s="2">
        <v>58</v>
      </c>
      <c r="K42" s="128"/>
      <c r="L42" s="137"/>
      <c r="M42" s="137"/>
      <c r="N42" s="2"/>
      <c r="O42" s="2"/>
      <c r="P42" s="2"/>
      <c r="Q42" s="2"/>
      <c r="R42" s="2"/>
      <c r="S42" s="2"/>
      <c r="T42" s="2"/>
    </row>
    <row r="43" spans="1:20">
      <c r="A43" s="128" t="s">
        <v>260</v>
      </c>
      <c r="B43" s="137">
        <v>159763.45000000001</v>
      </c>
      <c r="C43" s="137"/>
      <c r="D43" s="2">
        <v>159767.17000000001</v>
      </c>
      <c r="E43" s="2"/>
      <c r="F43" s="2">
        <v>116967.15</v>
      </c>
      <c r="G43" s="2"/>
      <c r="H43" s="2">
        <v>42800.02</v>
      </c>
      <c r="I43" s="2">
        <v>27</v>
      </c>
      <c r="K43" s="128"/>
      <c r="L43" s="137"/>
      <c r="M43" s="137"/>
      <c r="N43" s="2"/>
      <c r="O43" s="2"/>
      <c r="P43" s="2"/>
      <c r="Q43" s="2"/>
      <c r="R43" s="2"/>
      <c r="S43" s="2"/>
      <c r="T43" s="2"/>
    </row>
    <row r="44" spans="1:20">
      <c r="A44" s="128" t="s">
        <v>261</v>
      </c>
      <c r="B44" s="137">
        <v>44894026.780000001</v>
      </c>
      <c r="C44" s="137"/>
      <c r="D44" s="2">
        <v>45067609.219999999</v>
      </c>
      <c r="E44" s="2"/>
      <c r="F44" s="2">
        <v>20832195.91</v>
      </c>
      <c r="G44" s="2"/>
      <c r="H44" s="2">
        <v>24235413.309999999</v>
      </c>
      <c r="I44" s="2">
        <v>54</v>
      </c>
      <c r="K44" s="128"/>
      <c r="L44" s="137"/>
      <c r="M44" s="137"/>
      <c r="N44" s="2"/>
      <c r="O44" s="2"/>
      <c r="P44" s="2"/>
      <c r="Q44" s="2"/>
      <c r="R44" s="2"/>
      <c r="S44" s="2"/>
      <c r="T44" s="2"/>
    </row>
    <row r="45" spans="1:20">
      <c r="A45" s="128" t="s">
        <v>262</v>
      </c>
      <c r="B45" s="137">
        <v>14827657.08</v>
      </c>
      <c r="C45" s="137"/>
      <c r="D45" s="2">
        <v>14840649.57</v>
      </c>
      <c r="E45" s="2"/>
      <c r="F45" s="2">
        <v>6045896.1500000004</v>
      </c>
      <c r="G45" s="2"/>
      <c r="H45" s="2">
        <v>8794753.4199999999</v>
      </c>
      <c r="I45" s="2">
        <v>59</v>
      </c>
      <c r="K45" s="128"/>
      <c r="L45" s="137"/>
      <c r="M45" s="137"/>
      <c r="N45" s="2"/>
      <c r="O45" s="2"/>
      <c r="P45" s="2"/>
      <c r="Q45" s="2"/>
      <c r="R45" s="2"/>
      <c r="S45" s="2"/>
      <c r="T45" s="2"/>
    </row>
    <row r="46" spans="1:20">
      <c r="A46" s="128" t="s">
        <v>263</v>
      </c>
      <c r="B46" s="137">
        <v>207607.31</v>
      </c>
      <c r="C46" s="137"/>
      <c r="D46" s="2">
        <v>207607.31</v>
      </c>
      <c r="E46" s="2"/>
      <c r="F46" s="2">
        <v>149514.42000000001</v>
      </c>
      <c r="G46" s="2"/>
      <c r="H46" s="2">
        <v>58092.89</v>
      </c>
      <c r="I46" s="2">
        <v>28</v>
      </c>
      <c r="K46" s="128"/>
      <c r="L46" s="137"/>
      <c r="M46" s="137"/>
      <c r="N46" s="2"/>
      <c r="O46" s="2"/>
      <c r="P46" s="2"/>
      <c r="Q46" s="2"/>
      <c r="R46" s="2"/>
      <c r="S46" s="2"/>
      <c r="T46" s="2"/>
    </row>
    <row r="47" spans="1:20">
      <c r="A47" s="128" t="s">
        <v>264</v>
      </c>
      <c r="B47" s="137">
        <v>1387072.16</v>
      </c>
      <c r="C47" s="137"/>
      <c r="D47" s="2">
        <v>1001423.91</v>
      </c>
      <c r="E47" s="2"/>
      <c r="F47" s="2">
        <v>427566.95</v>
      </c>
      <c r="G47" s="2"/>
      <c r="H47" s="2">
        <v>573856.96</v>
      </c>
      <c r="I47" s="2">
        <v>57</v>
      </c>
      <c r="K47" s="128"/>
      <c r="L47" s="137"/>
      <c r="M47" s="137"/>
      <c r="N47" s="2"/>
      <c r="O47" s="2"/>
      <c r="P47" s="2"/>
      <c r="Q47" s="2"/>
      <c r="R47" s="2"/>
      <c r="S47" s="2"/>
      <c r="T47" s="2"/>
    </row>
    <row r="48" spans="1:20">
      <c r="A48" s="128" t="s">
        <v>216</v>
      </c>
      <c r="B48" s="137">
        <v>37798269.140000001</v>
      </c>
      <c r="C48" s="137"/>
      <c r="D48" s="2">
        <v>38191049.469999999</v>
      </c>
      <c r="E48" s="2"/>
      <c r="F48" s="2">
        <v>22162065.949999999</v>
      </c>
      <c r="G48" s="2"/>
      <c r="H48" s="2">
        <v>16028983.52</v>
      </c>
      <c r="I48" s="2">
        <v>42</v>
      </c>
      <c r="K48" s="128"/>
      <c r="L48" s="137"/>
      <c r="M48" s="137"/>
      <c r="N48" s="2"/>
      <c r="O48" s="2"/>
      <c r="P48" s="2"/>
      <c r="Q48" s="2"/>
      <c r="R48" s="2"/>
      <c r="S48" s="2"/>
      <c r="T48" s="2"/>
    </row>
    <row r="49" spans="1:20">
      <c r="A49" s="128" t="s">
        <v>32</v>
      </c>
      <c r="B49" s="137">
        <v>1948199.05</v>
      </c>
      <c r="C49" s="137"/>
      <c r="D49" s="2">
        <v>1929151.34</v>
      </c>
      <c r="E49" s="2"/>
      <c r="F49" s="2">
        <v>454670.96</v>
      </c>
      <c r="G49" s="2"/>
      <c r="H49" s="2">
        <v>1474480.38</v>
      </c>
      <c r="I49" s="2">
        <v>76</v>
      </c>
      <c r="K49" s="128"/>
      <c r="L49" s="137"/>
      <c r="M49" s="137"/>
      <c r="N49" s="2"/>
      <c r="O49" s="2"/>
      <c r="P49" s="2"/>
      <c r="Q49" s="2"/>
      <c r="R49" s="2"/>
      <c r="S49" s="2"/>
      <c r="T49" s="2"/>
    </row>
    <row r="50" spans="1:20">
      <c r="A50" s="128" t="s">
        <v>265</v>
      </c>
      <c r="B50" s="137">
        <v>1144831.79</v>
      </c>
      <c r="C50" s="137"/>
      <c r="D50" s="2">
        <v>1164647.1499999999</v>
      </c>
      <c r="E50" s="2"/>
      <c r="F50" s="2">
        <v>616779.37</v>
      </c>
      <c r="G50" s="2"/>
      <c r="H50" s="2">
        <v>547867.78</v>
      </c>
      <c r="I50" s="2">
        <v>47</v>
      </c>
      <c r="K50" s="128"/>
      <c r="L50" s="137"/>
      <c r="M50" s="137"/>
      <c r="N50" s="2"/>
      <c r="O50" s="2"/>
      <c r="P50" s="2"/>
      <c r="Q50" s="2"/>
      <c r="R50" s="2"/>
      <c r="S50" s="2"/>
      <c r="T50" s="2"/>
    </row>
    <row r="51" spans="1:20">
      <c r="A51" s="128" t="s">
        <v>266</v>
      </c>
      <c r="B51" s="137">
        <v>9643970.7400000002</v>
      </c>
      <c r="C51" s="137"/>
      <c r="D51" s="2">
        <v>9746474.1799999997</v>
      </c>
      <c r="E51" s="2"/>
      <c r="F51" s="2">
        <v>3817036.2</v>
      </c>
      <c r="G51" s="2"/>
      <c r="H51" s="2">
        <v>5929437.9800000004</v>
      </c>
      <c r="I51" s="2">
        <v>61</v>
      </c>
      <c r="K51" s="128"/>
      <c r="L51" s="137"/>
      <c r="M51" s="137"/>
      <c r="N51" s="2"/>
      <c r="O51" s="2"/>
      <c r="P51" s="2"/>
      <c r="Q51" s="2"/>
      <c r="R51" s="2"/>
      <c r="S51" s="2"/>
      <c r="T51" s="2"/>
    </row>
    <row r="52" spans="1:20">
      <c r="A52" s="128" t="s">
        <v>267</v>
      </c>
      <c r="B52" s="137">
        <v>921142.04</v>
      </c>
      <c r="C52" s="137"/>
      <c r="D52" s="2">
        <v>937343.57</v>
      </c>
      <c r="E52" s="2"/>
      <c r="F52" s="2">
        <v>435826.89</v>
      </c>
      <c r="G52" s="2"/>
      <c r="H52" s="2">
        <v>501516.68</v>
      </c>
      <c r="I52" s="2">
        <v>54</v>
      </c>
      <c r="K52" s="128"/>
      <c r="L52" s="137"/>
      <c r="M52" s="137"/>
      <c r="N52" s="2"/>
      <c r="O52" s="2"/>
      <c r="P52" s="2"/>
      <c r="Q52" s="2"/>
      <c r="R52" s="2"/>
      <c r="S52" s="2"/>
      <c r="T52" s="2"/>
    </row>
    <row r="53" spans="1:20">
      <c r="A53" s="128" t="s">
        <v>168</v>
      </c>
      <c r="B53" s="137">
        <v>3844364.02</v>
      </c>
      <c r="C53" s="137"/>
      <c r="D53" s="2">
        <v>3862387.09</v>
      </c>
      <c r="E53" s="2"/>
      <c r="F53" s="2">
        <v>2622367.35</v>
      </c>
      <c r="G53" s="2"/>
      <c r="H53" s="2">
        <v>1240019.74</v>
      </c>
      <c r="I53" s="2">
        <v>32</v>
      </c>
      <c r="K53" s="128"/>
      <c r="L53" s="137"/>
      <c r="M53" s="137"/>
      <c r="N53" s="2"/>
      <c r="O53" s="2"/>
      <c r="P53" s="2"/>
      <c r="Q53" s="2"/>
      <c r="R53" s="2"/>
      <c r="S53" s="2"/>
      <c r="T53" s="2"/>
    </row>
    <row r="54" spans="1:20">
      <c r="A54" s="128"/>
      <c r="B54" s="128" t="s">
        <v>196</v>
      </c>
      <c r="C54" s="128"/>
      <c r="D54" t="s">
        <v>196</v>
      </c>
      <c r="F54" t="s">
        <v>196</v>
      </c>
      <c r="H54" t="s">
        <v>196</v>
      </c>
      <c r="I54" t="s">
        <v>257</v>
      </c>
      <c r="K54" s="128"/>
      <c r="L54" s="128"/>
      <c r="M54" s="128"/>
    </row>
    <row r="55" spans="1:20">
      <c r="A55" s="128" t="s">
        <v>268</v>
      </c>
      <c r="B55" s="137">
        <v>176603814.5</v>
      </c>
      <c r="C55" s="137"/>
      <c r="D55" s="2">
        <v>176578420.94</v>
      </c>
      <c r="E55" s="2"/>
      <c r="F55" s="2">
        <v>90105854.180000007</v>
      </c>
      <c r="G55" s="2"/>
      <c r="H55" s="2">
        <v>86472566.760000005</v>
      </c>
      <c r="I55" s="2">
        <v>49</v>
      </c>
      <c r="K55" s="128"/>
      <c r="L55" s="137"/>
      <c r="M55" s="137"/>
      <c r="N55" s="2"/>
      <c r="O55" s="2"/>
      <c r="P55" s="2"/>
      <c r="Q55" s="2"/>
      <c r="R55" s="2"/>
      <c r="S55" s="2"/>
      <c r="T55" s="2"/>
    </row>
    <row r="56" spans="1:20">
      <c r="A56" s="128"/>
      <c r="B56" s="128" t="s">
        <v>196</v>
      </c>
      <c r="C56" s="128"/>
      <c r="D56" t="s">
        <v>196</v>
      </c>
      <c r="F56" t="s">
        <v>196</v>
      </c>
      <c r="H56" t="s">
        <v>196</v>
      </c>
      <c r="I56" t="s">
        <v>257</v>
      </c>
      <c r="K56" s="128"/>
      <c r="L56" s="128"/>
      <c r="M56" s="128"/>
    </row>
    <row r="57" spans="1:20">
      <c r="A57" s="128" t="s">
        <v>15</v>
      </c>
      <c r="B57" s="128"/>
      <c r="C57" s="128"/>
      <c r="K57" s="128"/>
      <c r="L57" s="128"/>
      <c r="M57" s="128"/>
    </row>
    <row r="58" spans="1:20">
      <c r="A58" s="128" t="s">
        <v>269</v>
      </c>
      <c r="B58" s="137">
        <v>3151302.97</v>
      </c>
      <c r="C58" s="137"/>
      <c r="D58" s="2">
        <v>3153368.54</v>
      </c>
      <c r="E58" s="2"/>
      <c r="F58" s="2">
        <v>1551385.57</v>
      </c>
      <c r="G58" s="2"/>
      <c r="H58" s="2">
        <v>1601982.97</v>
      </c>
      <c r="I58" s="2">
        <v>51</v>
      </c>
      <c r="K58" s="128"/>
      <c r="L58" s="137"/>
      <c r="M58" s="137"/>
      <c r="N58" s="2"/>
      <c r="O58" s="2"/>
      <c r="P58" s="2"/>
      <c r="Q58" s="2"/>
      <c r="R58" s="2"/>
      <c r="S58" s="2"/>
      <c r="T58" s="2"/>
    </row>
    <row r="59" spans="1:20">
      <c r="A59" s="128" t="s">
        <v>270</v>
      </c>
      <c r="B59" s="137">
        <v>721231.67</v>
      </c>
      <c r="C59" s="137"/>
      <c r="D59" s="2">
        <v>721292.17</v>
      </c>
      <c r="E59" s="2"/>
      <c r="F59" s="2">
        <v>321272.03999999998</v>
      </c>
      <c r="G59" s="2"/>
      <c r="H59" s="2">
        <v>400020.13</v>
      </c>
      <c r="I59" s="2">
        <v>55</v>
      </c>
      <c r="K59" s="128"/>
      <c r="L59" s="137"/>
      <c r="M59" s="137"/>
      <c r="N59" s="2"/>
      <c r="O59" s="2"/>
      <c r="P59" s="2"/>
      <c r="Q59" s="2"/>
      <c r="R59" s="2"/>
      <c r="S59" s="2"/>
      <c r="T59" s="2"/>
    </row>
    <row r="60" spans="1:20">
      <c r="A60" s="128" t="s">
        <v>271</v>
      </c>
      <c r="B60" s="137">
        <v>735889.62</v>
      </c>
      <c r="C60" s="137"/>
      <c r="D60" s="2">
        <v>735951.44</v>
      </c>
      <c r="E60" s="2"/>
      <c r="F60" s="2">
        <v>322775.52</v>
      </c>
      <c r="G60" s="2"/>
      <c r="H60" s="2">
        <v>413175.92</v>
      </c>
      <c r="I60" s="2">
        <v>56</v>
      </c>
      <c r="K60" s="128"/>
      <c r="L60" s="137"/>
      <c r="M60" s="137"/>
      <c r="N60" s="2"/>
      <c r="O60" s="2"/>
      <c r="P60" s="2"/>
      <c r="Q60" s="2"/>
      <c r="R60" s="2"/>
      <c r="S60" s="2"/>
      <c r="T60" s="2"/>
    </row>
    <row r="61" spans="1:20">
      <c r="A61" s="128" t="s">
        <v>272</v>
      </c>
      <c r="B61" s="137">
        <v>737097.98</v>
      </c>
      <c r="C61" s="137"/>
      <c r="D61" s="2">
        <v>737156.96</v>
      </c>
      <c r="E61" s="2"/>
      <c r="F61" s="2">
        <v>330024.78000000003</v>
      </c>
      <c r="G61" s="2"/>
      <c r="H61" s="2">
        <v>407132.18</v>
      </c>
      <c r="I61" s="2">
        <v>55</v>
      </c>
      <c r="K61" s="128"/>
      <c r="L61" s="137"/>
      <c r="M61" s="137"/>
      <c r="N61" s="2"/>
      <c r="O61" s="2"/>
      <c r="P61" s="2"/>
      <c r="Q61" s="2"/>
      <c r="R61" s="2"/>
      <c r="S61" s="2"/>
      <c r="T61" s="2"/>
    </row>
    <row r="62" spans="1:20">
      <c r="A62" s="128" t="s">
        <v>273</v>
      </c>
      <c r="B62" s="137">
        <v>859946.46</v>
      </c>
      <c r="C62" s="137"/>
      <c r="D62" s="2">
        <v>860004.53</v>
      </c>
      <c r="E62" s="2"/>
      <c r="F62" s="2">
        <v>322368.17</v>
      </c>
      <c r="G62" s="2"/>
      <c r="H62" s="2">
        <v>537636.36</v>
      </c>
      <c r="I62" s="2">
        <v>63</v>
      </c>
      <c r="K62" s="128"/>
      <c r="L62" s="137"/>
      <c r="M62" s="137"/>
      <c r="N62" s="2"/>
      <c r="O62" s="2"/>
      <c r="P62" s="2"/>
      <c r="Q62" s="2"/>
      <c r="R62" s="2"/>
      <c r="S62" s="2"/>
      <c r="T62" s="2"/>
    </row>
    <row r="63" spans="1:20">
      <c r="A63" s="128" t="s">
        <v>274</v>
      </c>
      <c r="B63" s="137">
        <v>690055.7</v>
      </c>
      <c r="C63" s="137"/>
      <c r="D63" s="2">
        <v>690110.35</v>
      </c>
      <c r="E63" s="2"/>
      <c r="F63" s="2">
        <v>311789.71000000002</v>
      </c>
      <c r="G63" s="2"/>
      <c r="H63" s="2">
        <v>378320.64000000001</v>
      </c>
      <c r="I63" s="2">
        <v>55</v>
      </c>
      <c r="K63" s="128"/>
      <c r="L63" s="137"/>
      <c r="M63" s="137"/>
      <c r="N63" s="2"/>
      <c r="O63" s="2"/>
      <c r="P63" s="2"/>
      <c r="Q63" s="2"/>
      <c r="R63" s="2"/>
      <c r="S63" s="2"/>
      <c r="T63" s="2"/>
    </row>
    <row r="64" spans="1:20">
      <c r="A64" s="128" t="s">
        <v>16</v>
      </c>
      <c r="B64" s="137">
        <v>5483214.0899999999</v>
      </c>
      <c r="C64" s="137"/>
      <c r="D64" s="2">
        <v>5483237.6399999997</v>
      </c>
      <c r="E64" s="2"/>
      <c r="F64" s="2">
        <v>2334016.44</v>
      </c>
      <c r="G64" s="2"/>
      <c r="H64" s="2">
        <v>3149221.2</v>
      </c>
      <c r="I64" s="2">
        <v>57</v>
      </c>
      <c r="K64" s="128"/>
      <c r="L64" s="137"/>
      <c r="M64" s="137"/>
      <c r="N64" s="2"/>
      <c r="O64" s="2"/>
      <c r="P64" s="2"/>
      <c r="Q64" s="2"/>
      <c r="R64" s="2"/>
      <c r="S64" s="2"/>
      <c r="T64" s="2"/>
    </row>
    <row r="65" spans="1:20">
      <c r="A65" s="128" t="s">
        <v>275</v>
      </c>
      <c r="B65" s="137">
        <v>777349.33</v>
      </c>
      <c r="C65" s="137"/>
      <c r="D65" s="2">
        <v>778156.31</v>
      </c>
      <c r="E65" s="2"/>
      <c r="F65" s="2">
        <v>329123.36</v>
      </c>
      <c r="G65" s="2"/>
      <c r="H65" s="2">
        <v>449032.95</v>
      </c>
      <c r="I65" s="2">
        <v>58</v>
      </c>
      <c r="K65" s="128"/>
      <c r="L65" s="137"/>
      <c r="M65" s="137"/>
      <c r="N65" s="2"/>
      <c r="O65" s="2"/>
      <c r="P65" s="2"/>
      <c r="Q65" s="2"/>
      <c r="R65" s="2"/>
      <c r="S65" s="2"/>
      <c r="T65" s="2"/>
    </row>
    <row r="66" spans="1:20">
      <c r="A66" s="128" t="s">
        <v>276</v>
      </c>
      <c r="B66" s="137">
        <v>2258197</v>
      </c>
      <c r="C66" s="137"/>
      <c r="D66" s="2">
        <v>2258348.33</v>
      </c>
      <c r="E66" s="2"/>
      <c r="F66" s="2">
        <v>1104898.92</v>
      </c>
      <c r="G66" s="2"/>
      <c r="H66" s="2">
        <v>1153449.4099999999</v>
      </c>
      <c r="I66" s="2">
        <v>51</v>
      </c>
      <c r="K66" s="128"/>
      <c r="L66" s="137"/>
      <c r="M66" s="137"/>
      <c r="N66" s="2"/>
      <c r="O66" s="2"/>
      <c r="P66" s="2"/>
      <c r="Q66" s="2"/>
      <c r="R66" s="2"/>
      <c r="S66" s="2"/>
      <c r="T66" s="2"/>
    </row>
    <row r="67" spans="1:20">
      <c r="A67" s="128" t="s">
        <v>166</v>
      </c>
      <c r="B67" s="137">
        <v>133230.03</v>
      </c>
      <c r="C67" s="137"/>
      <c r="D67" s="2">
        <v>134385.84</v>
      </c>
      <c r="E67" s="2"/>
      <c r="F67" s="2">
        <v>51939.93</v>
      </c>
      <c r="G67" s="2"/>
      <c r="H67" s="2">
        <v>82445.91</v>
      </c>
      <c r="I67" s="2">
        <v>61</v>
      </c>
      <c r="K67" s="128"/>
      <c r="L67" s="137"/>
      <c r="M67" s="137"/>
      <c r="N67" s="2"/>
      <c r="O67" s="2"/>
      <c r="P67" s="2"/>
      <c r="Q67" s="2"/>
      <c r="R67" s="2"/>
      <c r="S67" s="2"/>
      <c r="T67" s="2"/>
    </row>
    <row r="68" spans="1:20">
      <c r="A68" s="128" t="s">
        <v>167</v>
      </c>
      <c r="B68" s="137">
        <v>52300</v>
      </c>
      <c r="C68" s="137"/>
      <c r="D68" s="2">
        <v>52300</v>
      </c>
      <c r="E68" s="2"/>
      <c r="F68" s="2">
        <v>1243.47</v>
      </c>
      <c r="G68" s="2"/>
      <c r="H68" s="2">
        <v>51056.53</v>
      </c>
      <c r="I68" s="2">
        <v>98</v>
      </c>
      <c r="K68" s="128"/>
      <c r="L68" s="137"/>
      <c r="M68" s="137"/>
      <c r="N68" s="2"/>
      <c r="O68" s="2"/>
      <c r="P68" s="2"/>
      <c r="Q68" s="2"/>
      <c r="R68" s="2"/>
      <c r="S68" s="2"/>
      <c r="T68" s="2"/>
    </row>
    <row r="69" spans="1:20">
      <c r="A69" s="128" t="s">
        <v>277</v>
      </c>
      <c r="B69" s="137">
        <v>394601.98</v>
      </c>
      <c r="C69" s="137"/>
      <c r="D69" s="2">
        <v>394625.19</v>
      </c>
      <c r="E69" s="2"/>
      <c r="F69" s="2">
        <v>152902.59</v>
      </c>
      <c r="G69" s="2"/>
      <c r="H69" s="2">
        <v>241722.6</v>
      </c>
      <c r="I69" s="2">
        <v>61</v>
      </c>
      <c r="K69" s="128"/>
      <c r="L69" s="137"/>
      <c r="M69" s="137"/>
      <c r="N69" s="2"/>
      <c r="O69" s="2"/>
      <c r="P69" s="2"/>
      <c r="Q69" s="2"/>
      <c r="R69" s="2"/>
      <c r="S69" s="2"/>
      <c r="T69" s="2"/>
    </row>
    <row r="70" spans="1:20">
      <c r="A70" s="128" t="s">
        <v>278</v>
      </c>
      <c r="B70" s="137">
        <v>407800.95</v>
      </c>
      <c r="C70" s="137"/>
      <c r="D70" s="2">
        <v>407825.68</v>
      </c>
      <c r="E70" s="2"/>
      <c r="F70" s="2">
        <v>179549.29</v>
      </c>
      <c r="G70" s="2"/>
      <c r="H70" s="2">
        <v>228276.39</v>
      </c>
      <c r="I70" s="2">
        <v>56</v>
      </c>
      <c r="K70" s="128"/>
      <c r="L70" s="137"/>
      <c r="M70" s="137"/>
      <c r="N70" s="2"/>
      <c r="O70" s="2"/>
      <c r="P70" s="2"/>
      <c r="Q70" s="2"/>
      <c r="R70" s="2"/>
      <c r="S70" s="2"/>
      <c r="T70" s="2"/>
    </row>
    <row r="71" spans="1:20">
      <c r="A71" s="128" t="s">
        <v>279</v>
      </c>
      <c r="B71" s="137">
        <v>395057.44</v>
      </c>
      <c r="C71" s="137"/>
      <c r="D71" s="2">
        <v>395081.61</v>
      </c>
      <c r="E71" s="2"/>
      <c r="F71" s="2">
        <v>174086.08</v>
      </c>
      <c r="G71" s="2"/>
      <c r="H71" s="2">
        <v>220995.53</v>
      </c>
      <c r="I71" s="2">
        <v>56</v>
      </c>
      <c r="K71" s="128"/>
      <c r="L71" s="137"/>
      <c r="M71" s="137"/>
      <c r="N71" s="2"/>
      <c r="O71" s="2"/>
      <c r="P71" s="2"/>
      <c r="Q71" s="2"/>
      <c r="R71" s="2"/>
      <c r="S71" s="2"/>
      <c r="T71" s="2"/>
    </row>
    <row r="72" spans="1:20">
      <c r="A72" s="128" t="s">
        <v>280</v>
      </c>
      <c r="B72" s="137">
        <v>374262.72</v>
      </c>
      <c r="C72" s="137"/>
      <c r="D72" s="2">
        <v>374286.5</v>
      </c>
      <c r="E72" s="2"/>
      <c r="F72" s="2">
        <v>160885.03</v>
      </c>
      <c r="G72" s="2"/>
      <c r="H72" s="2">
        <v>213401.47</v>
      </c>
      <c r="I72" s="2">
        <v>57</v>
      </c>
      <c r="K72" s="128"/>
      <c r="L72" s="137"/>
      <c r="M72" s="137"/>
      <c r="N72" s="2"/>
      <c r="O72" s="2"/>
      <c r="P72" s="2"/>
      <c r="Q72" s="2"/>
      <c r="R72" s="2"/>
      <c r="S72" s="2"/>
      <c r="T72" s="2"/>
    </row>
    <row r="73" spans="1:20">
      <c r="A73" s="128" t="s">
        <v>281</v>
      </c>
      <c r="B73" s="137">
        <v>399792.14</v>
      </c>
      <c r="C73" s="137"/>
      <c r="D73" s="2">
        <v>399816.36</v>
      </c>
      <c r="E73" s="2"/>
      <c r="F73" s="2">
        <v>176318.32</v>
      </c>
      <c r="G73" s="2"/>
      <c r="H73" s="2">
        <v>223498.04</v>
      </c>
      <c r="I73" s="2">
        <v>56</v>
      </c>
      <c r="K73" s="128"/>
      <c r="L73" s="137"/>
      <c r="M73" s="137"/>
      <c r="N73" s="2"/>
      <c r="O73" s="2"/>
      <c r="P73" s="2"/>
      <c r="Q73" s="2"/>
      <c r="R73" s="2"/>
      <c r="S73" s="2"/>
      <c r="T73" s="2"/>
    </row>
    <row r="74" spans="1:20">
      <c r="A74" s="128" t="s">
        <v>282</v>
      </c>
      <c r="B74" s="137">
        <v>388787.92</v>
      </c>
      <c r="C74" s="137"/>
      <c r="D74" s="2">
        <v>388810.61</v>
      </c>
      <c r="E74" s="2"/>
      <c r="F74" s="2">
        <v>176936.67</v>
      </c>
      <c r="G74" s="2"/>
      <c r="H74" s="2">
        <v>211873.94</v>
      </c>
      <c r="I74" s="2">
        <v>54</v>
      </c>
      <c r="K74" s="128"/>
      <c r="L74" s="137"/>
      <c r="M74" s="137"/>
      <c r="N74" s="2"/>
      <c r="O74" s="2"/>
      <c r="P74" s="2"/>
      <c r="Q74" s="2"/>
      <c r="R74" s="2"/>
      <c r="S74" s="2"/>
      <c r="T74" s="2"/>
    </row>
    <row r="75" spans="1:20">
      <c r="A75" s="128" t="s">
        <v>452</v>
      </c>
      <c r="B75" s="137">
        <v>421511.33</v>
      </c>
      <c r="C75" s="137"/>
      <c r="D75" s="2">
        <v>421315.72</v>
      </c>
      <c r="E75" s="2"/>
      <c r="F75" s="2">
        <v>42568.19</v>
      </c>
      <c r="G75" s="2"/>
      <c r="H75" s="2">
        <v>378747.53</v>
      </c>
      <c r="I75" s="2">
        <v>90</v>
      </c>
      <c r="K75" s="128"/>
      <c r="L75" s="137"/>
      <c r="M75" s="137"/>
      <c r="N75" s="2"/>
      <c r="O75" s="2"/>
      <c r="P75" s="2"/>
      <c r="Q75" s="2"/>
      <c r="R75" s="2"/>
      <c r="S75" s="2"/>
      <c r="T75" s="2"/>
    </row>
    <row r="76" spans="1:20">
      <c r="A76" s="128" t="s">
        <v>283</v>
      </c>
      <c r="B76" s="137">
        <v>9951490.5</v>
      </c>
      <c r="C76" s="137"/>
      <c r="D76" s="2">
        <v>10110589.07</v>
      </c>
      <c r="E76" s="2"/>
      <c r="F76" s="2">
        <v>4359562.01</v>
      </c>
      <c r="G76" s="2"/>
      <c r="H76" s="2">
        <v>5751027.0599999996</v>
      </c>
      <c r="I76" s="2">
        <v>57</v>
      </c>
      <c r="K76" s="128"/>
      <c r="L76" s="137"/>
      <c r="M76" s="137"/>
      <c r="N76" s="2"/>
      <c r="O76" s="2"/>
      <c r="P76" s="2"/>
      <c r="Q76" s="2"/>
      <c r="R76" s="2"/>
      <c r="S76" s="2"/>
      <c r="T76" s="2"/>
    </row>
    <row r="77" spans="1:20">
      <c r="A77" s="128" t="s">
        <v>202</v>
      </c>
      <c r="B77" s="137">
        <v>3262829.26</v>
      </c>
      <c r="C77" s="137"/>
      <c r="D77" s="2">
        <v>3261932.05</v>
      </c>
      <c r="E77" s="2"/>
      <c r="F77" s="2">
        <v>1334287.8500000001</v>
      </c>
      <c r="G77" s="2"/>
      <c r="H77" s="2">
        <v>1927644.2</v>
      </c>
      <c r="I77" s="2">
        <v>59</v>
      </c>
      <c r="K77" s="128"/>
      <c r="L77" s="137"/>
      <c r="M77" s="137"/>
      <c r="N77" s="2"/>
      <c r="O77" s="2"/>
      <c r="P77" s="2"/>
      <c r="Q77" s="2"/>
      <c r="R77" s="2"/>
      <c r="S77" s="2"/>
      <c r="T77" s="2"/>
    </row>
    <row r="78" spans="1:20">
      <c r="A78" s="128" t="s">
        <v>284</v>
      </c>
      <c r="B78" s="137">
        <v>1493096.27</v>
      </c>
      <c r="C78" s="137"/>
      <c r="D78" s="2">
        <v>1493140.03</v>
      </c>
      <c r="E78" s="2"/>
      <c r="F78" s="2">
        <v>618480.94999999995</v>
      </c>
      <c r="G78" s="2"/>
      <c r="H78" s="2">
        <v>874659.08</v>
      </c>
      <c r="I78" s="2">
        <v>59</v>
      </c>
      <c r="K78" s="128"/>
      <c r="L78" s="137"/>
      <c r="M78" s="137"/>
      <c r="N78" s="2"/>
      <c r="O78" s="2"/>
      <c r="P78" s="2"/>
      <c r="Q78" s="2"/>
      <c r="R78" s="2"/>
      <c r="S78" s="2"/>
      <c r="T78" s="2"/>
    </row>
    <row r="79" spans="1:20">
      <c r="A79" s="128" t="s">
        <v>285</v>
      </c>
      <c r="B79" s="137">
        <v>1717054.38</v>
      </c>
      <c r="C79" s="137"/>
      <c r="D79" s="2">
        <v>1717289.9</v>
      </c>
      <c r="E79" s="2"/>
      <c r="F79" s="2">
        <v>749084.6</v>
      </c>
      <c r="G79" s="2"/>
      <c r="H79" s="2">
        <v>968205.3</v>
      </c>
      <c r="I79" s="2">
        <v>56</v>
      </c>
      <c r="K79" s="128"/>
      <c r="L79" s="137"/>
      <c r="M79" s="137"/>
      <c r="N79" s="2"/>
      <c r="O79" s="2"/>
      <c r="P79" s="2"/>
      <c r="Q79" s="2"/>
      <c r="R79" s="2"/>
      <c r="S79" s="2"/>
      <c r="T79" s="2"/>
    </row>
    <row r="80" spans="1:20">
      <c r="A80" s="128" t="s">
        <v>286</v>
      </c>
      <c r="B80" s="137">
        <v>2255932.5</v>
      </c>
      <c r="C80" s="137"/>
      <c r="D80" s="2">
        <v>2256860.9700000002</v>
      </c>
      <c r="E80" s="2"/>
      <c r="F80" s="2">
        <v>877444.94</v>
      </c>
      <c r="G80" s="2"/>
      <c r="H80" s="2">
        <v>1379416.03</v>
      </c>
      <c r="I80" s="2">
        <v>61</v>
      </c>
      <c r="K80" s="128"/>
      <c r="L80" s="137"/>
      <c r="M80" s="137"/>
      <c r="N80" s="2"/>
      <c r="O80" s="2"/>
      <c r="P80" s="2"/>
      <c r="Q80" s="2"/>
      <c r="R80" s="2"/>
      <c r="S80" s="2"/>
      <c r="T80" s="2"/>
    </row>
    <row r="81" spans="1:20">
      <c r="A81" s="128" t="s">
        <v>287</v>
      </c>
      <c r="B81" s="137">
        <v>2058707.95</v>
      </c>
      <c r="C81" s="137"/>
      <c r="D81" s="2">
        <v>2058748.02</v>
      </c>
      <c r="E81" s="2"/>
      <c r="F81" s="2">
        <v>812588.96</v>
      </c>
      <c r="G81" s="2"/>
      <c r="H81" s="2">
        <v>1246159.06</v>
      </c>
      <c r="I81" s="2">
        <v>61</v>
      </c>
      <c r="K81" s="128"/>
      <c r="L81" s="137"/>
      <c r="M81" s="137"/>
      <c r="N81" s="2"/>
      <c r="O81" s="2"/>
      <c r="P81" s="2"/>
      <c r="Q81" s="2"/>
      <c r="R81" s="2"/>
      <c r="S81" s="2"/>
      <c r="T81" s="2"/>
    </row>
    <row r="82" spans="1:20">
      <c r="A82" s="128" t="s">
        <v>211</v>
      </c>
      <c r="B82" s="137">
        <v>9708167.0199999996</v>
      </c>
      <c r="C82" s="137"/>
      <c r="D82" s="2">
        <v>9821630.3000000007</v>
      </c>
      <c r="E82" s="2"/>
      <c r="F82" s="2">
        <v>4311273.72</v>
      </c>
      <c r="G82" s="2"/>
      <c r="H82" s="2">
        <v>5510356.5800000001</v>
      </c>
      <c r="I82" s="2">
        <v>56</v>
      </c>
      <c r="K82" s="128"/>
      <c r="L82" s="137"/>
      <c r="M82" s="137"/>
      <c r="N82" s="2"/>
      <c r="O82" s="2"/>
      <c r="P82" s="2"/>
      <c r="Q82" s="2"/>
      <c r="R82" s="2"/>
      <c r="S82" s="2"/>
      <c r="T82" s="2"/>
    </row>
    <row r="83" spans="1:20">
      <c r="A83" s="128" t="s">
        <v>200</v>
      </c>
      <c r="B83" s="137">
        <v>1800553.31</v>
      </c>
      <c r="C83" s="137"/>
      <c r="D83" s="2">
        <v>1833086.39</v>
      </c>
      <c r="E83" s="2"/>
      <c r="F83" s="2">
        <v>788930.82</v>
      </c>
      <c r="G83" s="2"/>
      <c r="H83" s="2">
        <v>1044155.57</v>
      </c>
      <c r="I83" s="2">
        <v>57</v>
      </c>
      <c r="K83" s="128"/>
      <c r="L83" s="137"/>
      <c r="M83" s="137"/>
      <c r="N83" s="2"/>
      <c r="O83" s="2"/>
      <c r="P83" s="2"/>
      <c r="Q83" s="2"/>
      <c r="R83" s="2"/>
      <c r="S83" s="2"/>
      <c r="T83" s="2"/>
    </row>
    <row r="84" spans="1:20">
      <c r="A84" s="128"/>
      <c r="B84" s="128" t="s">
        <v>196</v>
      </c>
      <c r="C84" s="128"/>
      <c r="D84" t="s">
        <v>196</v>
      </c>
      <c r="F84" t="s">
        <v>196</v>
      </c>
      <c r="H84" t="s">
        <v>196</v>
      </c>
      <c r="I84" t="s">
        <v>257</v>
      </c>
      <c r="K84" s="128"/>
      <c r="L84" s="128"/>
      <c r="M84" s="128"/>
    </row>
    <row r="85" spans="1:20">
      <c r="A85" s="128" t="s">
        <v>288</v>
      </c>
      <c r="B85" s="137">
        <v>50629460.520000003</v>
      </c>
      <c r="C85" s="137"/>
      <c r="D85" s="2">
        <v>50939350.509999998</v>
      </c>
      <c r="E85" s="2"/>
      <c r="F85" s="2">
        <v>21895737.93</v>
      </c>
      <c r="G85" s="2"/>
      <c r="H85" s="2">
        <v>29043612.579999998</v>
      </c>
      <c r="I85" s="2">
        <v>57</v>
      </c>
      <c r="K85" s="128"/>
      <c r="L85" s="137"/>
      <c r="M85" s="137"/>
      <c r="N85" s="2"/>
      <c r="O85" s="2"/>
      <c r="P85" s="2"/>
      <c r="Q85" s="2"/>
      <c r="R85" s="2"/>
      <c r="S85" s="2"/>
      <c r="T85" s="2"/>
    </row>
    <row r="86" spans="1:20">
      <c r="A86" s="128"/>
      <c r="B86" s="128" t="s">
        <v>196</v>
      </c>
      <c r="C86" s="128"/>
      <c r="D86" t="s">
        <v>196</v>
      </c>
      <c r="F86" t="s">
        <v>196</v>
      </c>
      <c r="H86" t="s">
        <v>196</v>
      </c>
      <c r="I86" t="s">
        <v>257</v>
      </c>
      <c r="K86" s="128"/>
      <c r="L86" s="128"/>
      <c r="M86" s="128"/>
    </row>
    <row r="87" spans="1:20">
      <c r="A87" s="128" t="s">
        <v>289</v>
      </c>
      <c r="B87" s="128"/>
      <c r="C87" s="128"/>
      <c r="K87" s="128"/>
      <c r="L87" s="128"/>
      <c r="M87" s="128"/>
    </row>
    <row r="88" spans="1:20">
      <c r="A88" s="128" t="s">
        <v>290</v>
      </c>
      <c r="B88" s="137">
        <v>687666.62</v>
      </c>
      <c r="C88" s="137"/>
      <c r="D88" s="2">
        <v>709396.86</v>
      </c>
      <c r="E88" s="2"/>
      <c r="F88" s="2">
        <v>290528.62</v>
      </c>
      <c r="G88" s="2"/>
      <c r="H88" s="2">
        <v>418868.24</v>
      </c>
      <c r="I88" s="2">
        <v>59</v>
      </c>
      <c r="K88" s="128"/>
      <c r="L88" s="137"/>
      <c r="M88" s="137"/>
      <c r="N88" s="2"/>
      <c r="O88" s="2"/>
      <c r="P88" s="2"/>
      <c r="Q88" s="2"/>
      <c r="R88" s="2"/>
      <c r="S88" s="2"/>
      <c r="T88" s="2"/>
    </row>
    <row r="89" spans="1:20">
      <c r="A89" s="128" t="s">
        <v>291</v>
      </c>
      <c r="B89" s="137">
        <v>6251285.75</v>
      </c>
      <c r="C89" s="137"/>
      <c r="D89" s="2">
        <v>6251361.75</v>
      </c>
      <c r="E89" s="2"/>
      <c r="F89" s="2">
        <v>2571073.79</v>
      </c>
      <c r="G89" s="2"/>
      <c r="H89" s="2">
        <v>3680287.96</v>
      </c>
      <c r="I89" s="2">
        <v>59</v>
      </c>
      <c r="K89" s="128"/>
      <c r="L89" s="137"/>
      <c r="M89" s="137"/>
      <c r="N89" s="2"/>
      <c r="O89" s="2"/>
      <c r="P89" s="2"/>
      <c r="Q89" s="2"/>
      <c r="R89" s="2"/>
      <c r="S89" s="2"/>
      <c r="T89" s="2"/>
    </row>
    <row r="90" spans="1:20">
      <c r="A90" s="128" t="s">
        <v>292</v>
      </c>
      <c r="B90" s="137">
        <v>2160</v>
      </c>
      <c r="C90" s="137"/>
      <c r="D90" s="2">
        <v>2160</v>
      </c>
      <c r="E90" s="2"/>
      <c r="F90" s="2">
        <v>470.74</v>
      </c>
      <c r="G90" s="2"/>
      <c r="H90" s="2">
        <v>1689.26</v>
      </c>
      <c r="I90">
        <v>78</v>
      </c>
      <c r="K90" s="128"/>
      <c r="L90" s="137"/>
      <c r="M90" s="137"/>
      <c r="N90" s="2"/>
      <c r="O90" s="2"/>
      <c r="P90" s="2"/>
      <c r="Q90" s="2"/>
      <c r="R90" s="2"/>
      <c r="T90" s="2"/>
    </row>
    <row r="91" spans="1:20">
      <c r="A91" s="128" t="s">
        <v>293</v>
      </c>
      <c r="B91" s="137">
        <v>1924204.63</v>
      </c>
      <c r="C91" s="137"/>
      <c r="D91" s="2">
        <v>1924204.63</v>
      </c>
      <c r="E91" s="2"/>
      <c r="F91" s="2">
        <v>1784111.2</v>
      </c>
      <c r="G91" s="2"/>
      <c r="H91" s="2">
        <v>140093.43</v>
      </c>
      <c r="I91">
        <v>7</v>
      </c>
      <c r="K91" s="128"/>
      <c r="L91" s="137"/>
      <c r="M91" s="137"/>
      <c r="N91" s="2"/>
      <c r="O91" s="2"/>
      <c r="P91" s="2"/>
      <c r="Q91" s="2"/>
      <c r="R91" s="2"/>
      <c r="T91" s="2"/>
    </row>
    <row r="92" spans="1:20">
      <c r="A92" s="128" t="s">
        <v>294</v>
      </c>
      <c r="B92" s="137">
        <v>510073.07</v>
      </c>
      <c r="C92" s="137"/>
      <c r="D92" s="2">
        <v>510203</v>
      </c>
      <c r="E92" s="2"/>
      <c r="F92" s="2">
        <v>218751.8</v>
      </c>
      <c r="G92" s="2"/>
      <c r="H92" s="2">
        <v>291451.2</v>
      </c>
      <c r="I92" s="2">
        <v>57</v>
      </c>
      <c r="K92" s="128"/>
      <c r="L92" s="137"/>
      <c r="M92" s="137"/>
      <c r="N92" s="2"/>
      <c r="O92" s="2"/>
      <c r="P92" s="2"/>
      <c r="Q92" s="2"/>
      <c r="R92" s="2"/>
      <c r="S92" s="2"/>
      <c r="T92" s="2"/>
    </row>
    <row r="93" spans="1:20">
      <c r="A93" s="128" t="s">
        <v>295</v>
      </c>
      <c r="B93" s="137">
        <v>5710980.9800000004</v>
      </c>
      <c r="C93" s="137"/>
      <c r="D93" s="2">
        <v>5724146.9699999997</v>
      </c>
      <c r="E93" s="2"/>
      <c r="F93" s="2">
        <v>2926371.17</v>
      </c>
      <c r="G93" s="2"/>
      <c r="H93" s="2">
        <v>2797775.8</v>
      </c>
      <c r="I93" s="2">
        <v>49</v>
      </c>
      <c r="K93" s="128"/>
      <c r="L93" s="137"/>
      <c r="M93" s="137"/>
      <c r="N93" s="2"/>
      <c r="O93" s="2"/>
      <c r="P93" s="2"/>
      <c r="Q93" s="2"/>
      <c r="R93" s="2"/>
      <c r="S93" s="2"/>
      <c r="T93" s="2"/>
    </row>
    <row r="94" spans="1:20">
      <c r="A94" s="128" t="s">
        <v>296</v>
      </c>
      <c r="B94" s="137">
        <v>2182262.62</v>
      </c>
      <c r="C94" s="137"/>
      <c r="D94" s="2">
        <v>2182262.62</v>
      </c>
      <c r="E94" s="2"/>
      <c r="F94" s="2">
        <v>1080931.19</v>
      </c>
      <c r="G94" s="2"/>
      <c r="H94" s="2">
        <v>1101331.43</v>
      </c>
      <c r="I94" s="2">
        <v>50</v>
      </c>
      <c r="K94" s="128"/>
      <c r="L94" s="137"/>
      <c r="M94" s="137"/>
      <c r="N94" s="2"/>
      <c r="O94" s="2"/>
      <c r="P94" s="2"/>
      <c r="Q94" s="2"/>
      <c r="R94" s="2"/>
      <c r="S94" s="2"/>
      <c r="T94" s="2"/>
    </row>
    <row r="95" spans="1:20">
      <c r="A95" s="128" t="s">
        <v>297</v>
      </c>
      <c r="B95" s="137">
        <v>102500</v>
      </c>
      <c r="C95" s="137"/>
      <c r="D95" s="2">
        <v>102500</v>
      </c>
      <c r="E95" s="2"/>
      <c r="F95" s="2">
        <v>-17900</v>
      </c>
      <c r="G95" s="2"/>
      <c r="H95" s="2">
        <v>120400</v>
      </c>
      <c r="I95" s="2">
        <v>117</v>
      </c>
      <c r="K95" s="128"/>
      <c r="L95" s="137"/>
      <c r="M95" s="137"/>
      <c r="N95" s="2"/>
      <c r="O95" s="2"/>
      <c r="P95" s="2"/>
      <c r="Q95" s="2"/>
      <c r="R95" s="2"/>
      <c r="S95" s="2"/>
      <c r="T95" s="2"/>
    </row>
    <row r="96" spans="1:20">
      <c r="A96" s="128" t="s">
        <v>155</v>
      </c>
      <c r="B96" s="137">
        <v>1305214.8</v>
      </c>
      <c r="C96" s="137"/>
      <c r="D96" s="2">
        <v>1328502.96</v>
      </c>
      <c r="E96" s="2"/>
      <c r="F96" s="2">
        <v>550037.36</v>
      </c>
      <c r="G96" s="2"/>
      <c r="H96" s="2">
        <v>778465.6</v>
      </c>
      <c r="I96" s="2">
        <v>59</v>
      </c>
      <c r="K96" s="128"/>
      <c r="L96" s="137"/>
      <c r="M96" s="137"/>
      <c r="N96" s="2"/>
      <c r="O96" s="2"/>
      <c r="P96" s="2"/>
      <c r="Q96" s="2"/>
      <c r="R96" s="2"/>
      <c r="S96" s="2"/>
      <c r="T96" s="2"/>
    </row>
    <row r="97" spans="1:20">
      <c r="A97" s="128"/>
      <c r="B97" s="128" t="s">
        <v>196</v>
      </c>
      <c r="C97" s="128"/>
      <c r="D97" t="s">
        <v>196</v>
      </c>
      <c r="F97" t="s">
        <v>196</v>
      </c>
      <c r="H97" t="s">
        <v>196</v>
      </c>
      <c r="I97" t="s">
        <v>257</v>
      </c>
      <c r="K97" s="128"/>
      <c r="L97" s="128"/>
      <c r="M97" s="128"/>
    </row>
    <row r="98" spans="1:20">
      <c r="A98" s="128" t="s">
        <v>298</v>
      </c>
      <c r="B98" s="137">
        <v>18676348.469999999</v>
      </c>
      <c r="C98" s="137"/>
      <c r="D98" s="2">
        <v>18734738.789999999</v>
      </c>
      <c r="E98" s="2"/>
      <c r="F98" s="2">
        <v>9404375.8699999992</v>
      </c>
      <c r="G98" s="2"/>
      <c r="H98" s="2">
        <v>9330362.9199999999</v>
      </c>
      <c r="I98" s="2">
        <v>50</v>
      </c>
      <c r="K98" s="128"/>
      <c r="L98" s="137"/>
      <c r="M98" s="137"/>
      <c r="N98" s="2"/>
      <c r="O98" s="2"/>
      <c r="P98" s="2"/>
      <c r="Q98" s="2"/>
      <c r="R98" s="2"/>
      <c r="S98" s="2"/>
      <c r="T98" s="2"/>
    </row>
    <row r="99" spans="1:20">
      <c r="A99" s="128"/>
      <c r="B99" s="128" t="s">
        <v>196</v>
      </c>
      <c r="C99" s="128"/>
      <c r="D99" t="s">
        <v>196</v>
      </c>
      <c r="F99" t="s">
        <v>196</v>
      </c>
      <c r="H99" t="s">
        <v>196</v>
      </c>
      <c r="I99" t="s">
        <v>257</v>
      </c>
      <c r="K99" s="128"/>
      <c r="L99" s="128"/>
      <c r="M99" s="128"/>
    </row>
    <row r="100" spans="1:20">
      <c r="A100" s="128"/>
      <c r="B100" s="128" t="s">
        <v>196</v>
      </c>
      <c r="C100" s="128"/>
      <c r="D100" t="s">
        <v>196</v>
      </c>
      <c r="F100" t="s">
        <v>196</v>
      </c>
      <c r="H100" t="s">
        <v>196</v>
      </c>
      <c r="I100" t="s">
        <v>257</v>
      </c>
      <c r="K100" s="128"/>
      <c r="L100" s="128"/>
      <c r="M100" s="128"/>
    </row>
    <row r="101" spans="1:20">
      <c r="A101" s="128" t="s">
        <v>299</v>
      </c>
      <c r="B101" s="137">
        <v>401201231.89999998</v>
      </c>
      <c r="C101" s="137"/>
      <c r="D101" s="2">
        <v>466787385.86000001</v>
      </c>
      <c r="E101" s="2"/>
      <c r="F101" s="2">
        <v>197752654.44</v>
      </c>
      <c r="G101" s="2"/>
      <c r="H101" s="2">
        <v>269034731.42000002</v>
      </c>
      <c r="I101" s="2">
        <v>58</v>
      </c>
      <c r="K101" s="128"/>
      <c r="L101" s="137"/>
      <c r="M101" s="137"/>
      <c r="N101" s="2"/>
      <c r="O101" s="2"/>
      <c r="P101" s="2"/>
      <c r="Q101" s="2"/>
      <c r="R101" s="2"/>
      <c r="S101" s="2"/>
      <c r="T101" s="2"/>
    </row>
    <row r="102" spans="1:20">
      <c r="A102" s="128"/>
      <c r="B102" t="s">
        <v>230</v>
      </c>
      <c r="D102" t="s">
        <v>230</v>
      </c>
      <c r="F102" t="s">
        <v>230</v>
      </c>
      <c r="H102" t="s">
        <v>230</v>
      </c>
      <c r="I102" t="s">
        <v>300</v>
      </c>
      <c r="K102" s="128"/>
      <c r="L102" s="128"/>
      <c r="M102" s="12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Q78"/>
  <sheetViews>
    <sheetView tabSelected="1" zoomScale="115" zoomScaleNormal="115" workbookViewId="0">
      <selection activeCell="J16" sqref="J16"/>
    </sheetView>
  </sheetViews>
  <sheetFormatPr defaultColWidth="9.109375" defaultRowHeight="13.2"/>
  <cols>
    <col min="1" max="1" width="2.5546875" customWidth="1"/>
    <col min="2" max="2" width="1.44140625" customWidth="1"/>
    <col min="3" max="3" width="1.33203125" customWidth="1"/>
    <col min="4" max="4" width="2.6640625" customWidth="1"/>
    <col min="5" max="5" width="30.88671875" customWidth="1"/>
    <col min="6" max="6" width="16" style="14" bestFit="1" customWidth="1"/>
    <col min="7" max="7" width="0.88671875" style="14" customWidth="1"/>
    <col min="8" max="8" width="16.109375" style="14" bestFit="1" customWidth="1"/>
    <col min="9" max="9" width="1.33203125" style="14" customWidth="1"/>
    <col min="10" max="10" width="16.109375" style="14" bestFit="1" customWidth="1"/>
    <col min="11" max="11" width="1.109375" customWidth="1"/>
    <col min="12" max="12" width="16.5546875" bestFit="1" customWidth="1"/>
    <col min="13" max="13" width="1" customWidth="1"/>
    <col min="14" max="14" width="12.44140625" customWidth="1"/>
    <col min="15" max="15" width="3.33203125" customWidth="1"/>
  </cols>
  <sheetData>
    <row r="1" spans="1:17">
      <c r="A1" t="str" cm="1">
        <f t="array" aca="1" ref="A1" ca="1">CELL("filename")</f>
        <v>C:\Users\nzinsmeyer\AppData\Local\Microsoft\Windows\INetCache\Content.Outlook\NZ8NN1ME\[Mar 26 FINANCIAL REPORT unaudited_UPDATED.xlsx]R&amp;B and Debt Svc</v>
      </c>
    </row>
    <row r="2" spans="1:17">
      <c r="A2" s="14" t="s">
        <v>519</v>
      </c>
    </row>
    <row r="3" spans="1:17" s="5" customFormat="1" ht="17.399999999999999">
      <c r="B3" s="141" t="s">
        <v>22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7" ht="15.6">
      <c r="B4" s="139" t="s">
        <v>29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7" ht="13.95" customHeight="1">
      <c r="B5" s="140" t="str">
        <f>+'GF REPORT EXP'!B5:N5</f>
        <v xml:space="preserve"> AS OF March 31, 2026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7" ht="10.95" customHeight="1">
      <c r="B6" s="138" t="s">
        <v>39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</row>
    <row r="7" spans="1:17" ht="26.4">
      <c r="F7" s="9" t="s">
        <v>23</v>
      </c>
      <c r="G7" s="9"/>
      <c r="H7" s="9" t="s">
        <v>24</v>
      </c>
      <c r="I7" s="9"/>
      <c r="J7" s="9" t="s">
        <v>0</v>
      </c>
      <c r="K7" s="9"/>
      <c r="L7" s="10" t="s">
        <v>1</v>
      </c>
      <c r="M7" s="10"/>
      <c r="N7" s="10" t="s">
        <v>2</v>
      </c>
    </row>
    <row r="8" spans="1:17">
      <c r="B8" s="1" t="s">
        <v>34</v>
      </c>
    </row>
    <row r="9" spans="1:17">
      <c r="B9" s="1"/>
      <c r="D9" t="s">
        <v>46</v>
      </c>
      <c r="F9" s="57">
        <f>SUM('R&amp;B - SUP'!B10)</f>
        <v>62160140</v>
      </c>
      <c r="G9" s="78">
        <f>SUM('R&amp;B - SUP'!C10)</f>
        <v>0</v>
      </c>
      <c r="H9" s="116">
        <f>SUM('R&amp;B - SUP'!D10)</f>
        <v>62160140</v>
      </c>
      <c r="I9" s="78">
        <f>SUM('R&amp;B - SUP'!E10)</f>
        <v>0</v>
      </c>
      <c r="J9" s="116">
        <f>SUM('R&amp;B - SUP'!H10)</f>
        <v>62083762.310000002</v>
      </c>
      <c r="K9" s="78"/>
      <c r="L9" s="57">
        <f t="shared" ref="L9:L16" si="0">H9-J9</f>
        <v>76377.689999997616</v>
      </c>
      <c r="M9" s="14"/>
      <c r="N9" s="81">
        <f t="shared" ref="N9:N16" si="1">IF(H9,L9/H9,0)</f>
        <v>1.2287245492046449E-3</v>
      </c>
      <c r="Q9" s="102"/>
    </row>
    <row r="10" spans="1:17">
      <c r="B10" s="1"/>
      <c r="D10" t="s">
        <v>133</v>
      </c>
      <c r="F10" s="106">
        <f>SUM('R&amp;B - SUP'!B11:B14)</f>
        <v>106900</v>
      </c>
      <c r="G10" s="106">
        <f>SUM('R&amp;B - SUP'!C11:C14)</f>
        <v>0</v>
      </c>
      <c r="H10" s="122">
        <f>SUM('R&amp;B - SUP'!D11:D14)</f>
        <v>106900</v>
      </c>
      <c r="I10" s="106">
        <f>SUM('R&amp;B - SUP'!E11:E14)</f>
        <v>0</v>
      </c>
      <c r="J10" s="122">
        <f>SUM('R&amp;B - SUP'!H11:H14)</f>
        <v>26031.05999999999</v>
      </c>
      <c r="K10" s="106"/>
      <c r="L10" s="106">
        <f>H10-J10</f>
        <v>80868.94</v>
      </c>
      <c r="M10" s="14"/>
      <c r="N10" s="81">
        <f t="shared" si="1"/>
        <v>0.75649148737137517</v>
      </c>
      <c r="Q10" s="102"/>
    </row>
    <row r="11" spans="1:17">
      <c r="B11" s="1"/>
      <c r="D11" t="s">
        <v>18</v>
      </c>
      <c r="F11" s="106">
        <f>SUM('R&amp;B - SUP'!B15:B16)</f>
        <v>225000</v>
      </c>
      <c r="G11" s="106">
        <f>SUM('R&amp;B - SUP'!C15:C16)</f>
        <v>0</v>
      </c>
      <c r="H11" s="122">
        <f>SUM('R&amp;B - SUP'!D15:D16)</f>
        <v>225000</v>
      </c>
      <c r="I11" s="106">
        <f>SUM('R&amp;B - SUP'!E15:E16)</f>
        <v>0</v>
      </c>
      <c r="J11" s="122">
        <f>SUM('R&amp;B - SUP'!H15:H16)</f>
        <v>70625.27</v>
      </c>
      <c r="K11" s="106"/>
      <c r="L11" s="106">
        <f t="shared" si="0"/>
        <v>154374.72999999998</v>
      </c>
      <c r="M11" s="14"/>
      <c r="N11" s="81">
        <f t="shared" si="1"/>
        <v>0.68610991111111108</v>
      </c>
    </row>
    <row r="12" spans="1:17">
      <c r="B12" s="1"/>
      <c r="D12" t="s">
        <v>134</v>
      </c>
      <c r="F12" s="106">
        <f>SUM('R&amp;B - SUP'!B17:B18)</f>
        <v>6060000</v>
      </c>
      <c r="G12" s="106">
        <f>SUM('R&amp;B - SUP'!C17:C18)</f>
        <v>0</v>
      </c>
      <c r="H12" s="122">
        <f>SUM('R&amp;B - SUP'!D17:D18)</f>
        <v>6060000</v>
      </c>
      <c r="I12" s="106">
        <f>SUM('R&amp;B - SUP'!E17:E18)</f>
        <v>0</v>
      </c>
      <c r="J12" s="122">
        <f>SUM('R&amp;B - SUP'!H17:H18)</f>
        <v>3205190</v>
      </c>
      <c r="K12" s="106"/>
      <c r="L12" s="106">
        <f t="shared" si="0"/>
        <v>2854810</v>
      </c>
      <c r="M12" s="14"/>
      <c r="N12" s="81">
        <f t="shared" si="1"/>
        <v>0.47109075907590758</v>
      </c>
    </row>
    <row r="13" spans="1:17">
      <c r="B13" s="1"/>
      <c r="D13" t="s">
        <v>72</v>
      </c>
      <c r="F13" s="106">
        <f>SUM('R&amp;B - SUP'!B19:B20)</f>
        <v>2295000</v>
      </c>
      <c r="G13" s="106">
        <f>SUM('R&amp;B - SUP'!C19:C20)</f>
        <v>0</v>
      </c>
      <c r="H13" s="122">
        <f>SUM('R&amp;B - SUP'!D19:D20)</f>
        <v>2295000</v>
      </c>
      <c r="I13" s="106">
        <f>'R&amp;B - SUP'!E19</f>
        <v>0</v>
      </c>
      <c r="J13" s="122">
        <f>SUM('R&amp;B - SUP'!H19:H20)</f>
        <v>946607.78</v>
      </c>
      <c r="K13" s="106"/>
      <c r="L13" s="106">
        <f t="shared" si="0"/>
        <v>1348392.22</v>
      </c>
      <c r="M13" s="14"/>
      <c r="N13" s="81">
        <f t="shared" si="1"/>
        <v>0.58753473638344222</v>
      </c>
      <c r="Q13" s="102"/>
    </row>
    <row r="14" spans="1:17">
      <c r="B14" s="1"/>
      <c r="D14" t="s">
        <v>135</v>
      </c>
      <c r="F14" s="106">
        <f>SUM('R&amp;B - SUP'!B21)</f>
        <v>100000</v>
      </c>
      <c r="G14" s="106">
        <f>SUM('R&amp;B - SUP'!C21)</f>
        <v>0</v>
      </c>
      <c r="H14" s="122">
        <f>SUM('R&amp;B - SUP'!D21)</f>
        <v>100000</v>
      </c>
      <c r="I14" s="106">
        <f>SUM('R&amp;B - SUP'!E21)</f>
        <v>0</v>
      </c>
      <c r="J14" s="122">
        <f>SUM('R&amp;B - SUP'!H21)</f>
        <v>0</v>
      </c>
      <c r="K14" s="106"/>
      <c r="L14" s="106">
        <f t="shared" si="0"/>
        <v>100000</v>
      </c>
      <c r="M14" s="14"/>
      <c r="N14" s="81">
        <f t="shared" si="1"/>
        <v>1</v>
      </c>
      <c r="Q14" s="102"/>
    </row>
    <row r="15" spans="1:17">
      <c r="B15" s="1"/>
      <c r="D15" t="s">
        <v>6</v>
      </c>
      <c r="F15" s="106">
        <f>SUM('R&amp;B - SUP'!B22:B24)</f>
        <v>1610000</v>
      </c>
      <c r="G15" s="106">
        <f>SUM('R&amp;B - SUP'!C22:C24)</f>
        <v>0</v>
      </c>
      <c r="H15" s="122">
        <f>SUM('R&amp;B - SUP'!D22:D24)</f>
        <v>1610000</v>
      </c>
      <c r="I15" s="106">
        <f>SUM('R&amp;B - SUP'!E22:E24)</f>
        <v>0</v>
      </c>
      <c r="J15" s="122">
        <f>SUM('R&amp;B - SUP'!H22:H24)</f>
        <v>1072260.95</v>
      </c>
      <c r="K15" s="106"/>
      <c r="L15" s="106">
        <f>H15-J15</f>
        <v>537739.05000000005</v>
      </c>
      <c r="M15" s="14"/>
      <c r="N15" s="81">
        <f t="shared" si="1"/>
        <v>0.33399940993788824</v>
      </c>
    </row>
    <row r="16" spans="1:17">
      <c r="B16" s="1"/>
      <c r="D16" t="s">
        <v>31</v>
      </c>
      <c r="F16" s="106">
        <v>0</v>
      </c>
      <c r="G16" s="106">
        <v>0</v>
      </c>
      <c r="H16" s="122">
        <v>0</v>
      </c>
      <c r="I16" s="106">
        <v>0</v>
      </c>
      <c r="J16" s="122">
        <v>0</v>
      </c>
      <c r="K16" s="106"/>
      <c r="L16" s="106">
        <f t="shared" si="0"/>
        <v>0</v>
      </c>
      <c r="M16" s="14"/>
      <c r="N16" s="81">
        <f t="shared" si="1"/>
        <v>0</v>
      </c>
    </row>
    <row r="17" spans="2:17" s="1" customFormat="1" ht="13.8" thickBot="1">
      <c r="E17" s="1" t="s">
        <v>41</v>
      </c>
      <c r="F17" s="112">
        <f>SUM(F9:F16)</f>
        <v>72557040</v>
      </c>
      <c r="G17" s="109"/>
      <c r="H17" s="112">
        <f>SUM(H9:H16)</f>
        <v>72557040</v>
      </c>
      <c r="I17" s="109"/>
      <c r="J17" s="112">
        <f>SUM(J9:J16)</f>
        <v>67404477.370000005</v>
      </c>
      <c r="K17" s="109"/>
      <c r="L17" s="112">
        <f>SUM(L9:L16)</f>
        <v>5152562.6299999971</v>
      </c>
      <c r="M17" s="7"/>
      <c r="N17" s="8">
        <f>IF(H17,L17/H17,0)</f>
        <v>7.1013958535243407E-2</v>
      </c>
      <c r="Q17" s="102"/>
    </row>
    <row r="18" spans="2:17" s="1" customFormat="1" ht="13.8" thickTop="1">
      <c r="F18" s="72"/>
      <c r="G18" s="7"/>
      <c r="H18" s="72"/>
      <c r="I18" s="7"/>
      <c r="J18" s="72"/>
      <c r="K18" s="7"/>
      <c r="L18" s="72"/>
      <c r="M18" s="7"/>
      <c r="N18" s="73"/>
    </row>
    <row r="19" spans="2:17" s="1" customFormat="1">
      <c r="F19" s="72"/>
      <c r="G19" s="7"/>
      <c r="H19" s="72"/>
      <c r="I19" s="7"/>
      <c r="J19" s="72"/>
      <c r="K19" s="7"/>
      <c r="L19" s="72"/>
      <c r="M19" s="7"/>
      <c r="N19" s="73"/>
    </row>
    <row r="20" spans="2:17" s="1" customFormat="1">
      <c r="F20" s="72"/>
      <c r="G20" s="7"/>
      <c r="H20" s="72"/>
      <c r="I20" s="7"/>
      <c r="J20" s="72"/>
      <c r="K20" s="7"/>
      <c r="L20" s="72"/>
      <c r="M20" s="7"/>
      <c r="N20" s="73"/>
    </row>
    <row r="21" spans="2:17">
      <c r="F21" s="83"/>
      <c r="J21" s="83" t="s">
        <v>43</v>
      </c>
    </row>
    <row r="22" spans="2:17" ht="26.4">
      <c r="F22" s="9" t="s">
        <v>23</v>
      </c>
      <c r="G22" s="9"/>
      <c r="H22" s="9" t="s">
        <v>24</v>
      </c>
      <c r="I22" s="9"/>
      <c r="J22" s="10" t="s">
        <v>11</v>
      </c>
      <c r="K22" s="10"/>
      <c r="L22" s="10" t="s">
        <v>12</v>
      </c>
      <c r="M22" s="10"/>
      <c r="N22" s="10" t="s">
        <v>13</v>
      </c>
    </row>
    <row r="23" spans="2:17">
      <c r="B23" s="1" t="s">
        <v>10</v>
      </c>
    </row>
    <row r="24" spans="2:17">
      <c r="C24" s="1" t="s">
        <v>136</v>
      </c>
      <c r="J24" s="83" t="s">
        <v>43</v>
      </c>
    </row>
    <row r="25" spans="2:17">
      <c r="D25" t="s">
        <v>19</v>
      </c>
      <c r="F25" s="57">
        <f>SUM('R&amp;B - SUP - EXP'!B9:B17)</f>
        <v>12591566.809999999</v>
      </c>
      <c r="G25" s="78">
        <f>SUM('R&amp;B - SUP - EXP'!C9:C17)</f>
        <v>0</v>
      </c>
      <c r="H25" s="116">
        <f>SUM('R&amp;B - SUP - EXP'!D9:D17)</f>
        <v>12591566.809999999</v>
      </c>
      <c r="I25" s="78"/>
      <c r="J25" s="116">
        <f>SUM('R&amp;B - SUP - EXP'!G9:G17)</f>
        <v>5067084.17</v>
      </c>
      <c r="K25" s="69"/>
      <c r="L25" s="70">
        <f>H25-J25</f>
        <v>7524482.6399999987</v>
      </c>
      <c r="N25" s="81">
        <f t="shared" ref="N25:N27" si="2">IF(H25,L25/H25,0)</f>
        <v>0.59758112342494096</v>
      </c>
    </row>
    <row r="26" spans="2:17">
      <c r="D26" t="s">
        <v>137</v>
      </c>
      <c r="F26" s="106">
        <f>SUM('R&amp;B - SUP - EXP'!B18:B23)</f>
        <v>5249938.3500000006</v>
      </c>
      <c r="G26" s="106">
        <f>SUM('R&amp;B - SUP - EXP'!C18:C23)</f>
        <v>0</v>
      </c>
      <c r="H26" s="122">
        <f>SUM('R&amp;B - SUP - EXP'!D18:D23)</f>
        <v>5260443.53</v>
      </c>
      <c r="I26" s="106"/>
      <c r="J26" s="122">
        <f>SUM('R&amp;B - SUP - EXP'!G18:G23)</f>
        <v>2539995.9300000002</v>
      </c>
      <c r="K26" s="105"/>
      <c r="L26" s="105">
        <f t="shared" ref="L26:L27" si="3">H26-J26</f>
        <v>2720447.6</v>
      </c>
      <c r="N26" s="81">
        <f t="shared" si="2"/>
        <v>0.51715175431224525</v>
      </c>
    </row>
    <row r="27" spans="2:17">
      <c r="D27" t="s">
        <v>145</v>
      </c>
      <c r="F27" s="106">
        <f>+'R&amp;B - SUP - EXP'!B96-F33-F30-F25-F26</f>
        <v>28811789.57</v>
      </c>
      <c r="G27" s="106"/>
      <c r="H27" s="122">
        <f>+'R&amp;B - SUP - EXP'!D96-H30-H33-H25-H26</f>
        <v>27822102.77</v>
      </c>
      <c r="I27" s="106"/>
      <c r="J27" s="122">
        <f>'R&amp;B - SUP - EXP'!G96-'R&amp;B and Debt Svc'!J25-'R&amp;B and Debt Svc'!J26-'R&amp;B and Debt Svc'!J33-J30</f>
        <v>14407162.429999998</v>
      </c>
      <c r="K27" s="105"/>
      <c r="L27" s="105">
        <f t="shared" si="3"/>
        <v>13414940.340000002</v>
      </c>
      <c r="N27" s="81">
        <f t="shared" si="2"/>
        <v>0.48216845616949755</v>
      </c>
    </row>
    <row r="28" spans="2:17" s="1" customFormat="1">
      <c r="E28" s="1" t="s">
        <v>138</v>
      </c>
      <c r="F28" s="108">
        <f>SUM(F25:F27)</f>
        <v>46653294.730000004</v>
      </c>
      <c r="G28" s="109"/>
      <c r="H28" s="108">
        <f>SUM(H25:H27)</f>
        <v>45674113.109999999</v>
      </c>
      <c r="I28" s="109"/>
      <c r="J28" s="108">
        <f>SUM(J25:J27)</f>
        <v>22014242.529999997</v>
      </c>
      <c r="K28" s="109"/>
      <c r="L28" s="108">
        <f>SUM(L25:L27)</f>
        <v>23659870.579999998</v>
      </c>
      <c r="N28" s="71">
        <f>IF(H28,L28/H28,0)</f>
        <v>0.51801488784288729</v>
      </c>
    </row>
    <row r="29" spans="2:17">
      <c r="F29" s="55"/>
      <c r="G29" s="55"/>
      <c r="H29" s="55"/>
      <c r="I29" s="55"/>
      <c r="J29" s="55"/>
      <c r="K29" s="113"/>
      <c r="L29" s="113"/>
      <c r="N29" s="3"/>
    </row>
    <row r="30" spans="2:17" s="1" customFormat="1">
      <c r="C30" s="1" t="s">
        <v>139</v>
      </c>
      <c r="F30" s="115">
        <f>SUM('R&amp;B - SUP - EXP'!B91:B94)</f>
        <v>1872926.2799999998</v>
      </c>
      <c r="G30" s="109"/>
      <c r="H30" s="127">
        <f>SUM('R&amp;B - SUP - EXP'!D90:D95)</f>
        <v>1832107.9</v>
      </c>
      <c r="I30" s="109"/>
      <c r="J30" s="127">
        <f>SUM('R&amp;B - SUP - EXP'!G90:G95)</f>
        <v>1625996.66</v>
      </c>
      <c r="K30" s="109"/>
      <c r="L30" s="115">
        <f>H30-J30</f>
        <v>206111.24</v>
      </c>
      <c r="N30" s="103">
        <f>IF(H30,L30/H30,0)</f>
        <v>0.11249950944483128</v>
      </c>
    </row>
    <row r="31" spans="2:17">
      <c r="F31" s="55"/>
      <c r="G31" s="55"/>
      <c r="H31" s="55"/>
      <c r="I31" s="55"/>
      <c r="J31" s="55"/>
      <c r="K31" s="113"/>
      <c r="L31" s="113"/>
      <c r="N31" s="3"/>
    </row>
    <row r="32" spans="2:17" ht="13.95" customHeight="1">
      <c r="B32" s="1" t="s">
        <v>140</v>
      </c>
      <c r="F32" s="55"/>
      <c r="G32" s="55"/>
      <c r="H32" s="55"/>
      <c r="I32" s="55"/>
      <c r="J32" s="55"/>
      <c r="K32" s="113"/>
      <c r="L32" s="113"/>
      <c r="N32" s="3"/>
    </row>
    <row r="33" spans="2:17" s="1" customFormat="1">
      <c r="C33" s="1" t="s">
        <v>141</v>
      </c>
      <c r="F33" s="115">
        <f>+'R&amp;B - SUP - EXP'!B8</f>
        <v>29997000</v>
      </c>
      <c r="G33" s="109"/>
      <c r="H33" s="127">
        <f>+'R&amp;B - SUP - EXP'!D8</f>
        <v>31017000</v>
      </c>
      <c r="I33" s="109"/>
      <c r="J33" s="127">
        <f>+'R&amp;B - SUP - EXP'!G8</f>
        <v>10428267.779999999</v>
      </c>
      <c r="K33" s="109"/>
      <c r="L33" s="115">
        <f>H33-J33</f>
        <v>20588732.219999999</v>
      </c>
      <c r="N33" s="103">
        <f>IF(H33,L33/H33,0)</f>
        <v>0.66378863913337838</v>
      </c>
    </row>
    <row r="34" spans="2:17">
      <c r="F34" s="55"/>
      <c r="G34" s="55"/>
      <c r="H34" s="55"/>
      <c r="I34" s="55"/>
      <c r="J34" s="55"/>
      <c r="K34" s="113"/>
      <c r="L34" s="113"/>
      <c r="N34" s="3"/>
    </row>
    <row r="35" spans="2:17" s="1" customFormat="1" ht="13.8" thickBot="1">
      <c r="E35" s="1" t="s">
        <v>81</v>
      </c>
      <c r="F35" s="112">
        <f>F28+F30+F33</f>
        <v>78523221.010000005</v>
      </c>
      <c r="G35" s="109"/>
      <c r="H35" s="112">
        <f>H28+H30+H33</f>
        <v>78523221.00999999</v>
      </c>
      <c r="I35" s="109"/>
      <c r="J35" s="112">
        <f>J28+J30+J33</f>
        <v>34068506.969999999</v>
      </c>
      <c r="K35" s="109"/>
      <c r="L35" s="112">
        <f>L28+L30+L33</f>
        <v>44454714.039999992</v>
      </c>
      <c r="N35" s="8">
        <f>IF(H35,L35/H35,0)</f>
        <v>0.56613462193990549</v>
      </c>
      <c r="Q35" s="102"/>
    </row>
    <row r="36" spans="2:17" s="1" customFormat="1" ht="13.8" thickTop="1">
      <c r="F36" s="72"/>
      <c r="G36" s="7"/>
      <c r="H36" s="72"/>
      <c r="I36" s="7"/>
      <c r="J36" s="72"/>
      <c r="K36" s="7"/>
      <c r="L36" s="72"/>
      <c r="N36" s="73"/>
    </row>
    <row r="37" spans="2:17" ht="4.95" customHeight="1"/>
    <row r="40" spans="2:17" s="5" customFormat="1" ht="17.399999999999999">
      <c r="B40" s="141" t="s">
        <v>22</v>
      </c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</row>
    <row r="41" spans="2:17" ht="15.6">
      <c r="B41" s="139" t="s">
        <v>28</v>
      </c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</row>
    <row r="42" spans="2:17" ht="13.95" customHeight="1">
      <c r="B42" s="140" t="str">
        <f>+B5</f>
        <v xml:space="preserve"> AS OF March 31, 2026</v>
      </c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</row>
    <row r="43" spans="2:17" ht="10.95" customHeight="1">
      <c r="B43" s="138" t="s">
        <v>39</v>
      </c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</row>
    <row r="44" spans="2:17" ht="26.4">
      <c r="F44" s="9" t="s">
        <v>23</v>
      </c>
      <c r="G44" s="9"/>
      <c r="H44" s="9" t="s">
        <v>24</v>
      </c>
      <c r="I44" s="9"/>
      <c r="J44" s="9" t="s">
        <v>0</v>
      </c>
      <c r="K44" s="9"/>
      <c r="L44" s="10" t="s">
        <v>1</v>
      </c>
      <c r="M44" s="10"/>
      <c r="N44" s="10" t="s">
        <v>2</v>
      </c>
    </row>
    <row r="45" spans="2:17">
      <c r="B45" s="1" t="s">
        <v>34</v>
      </c>
      <c r="J45" s="83" t="s">
        <v>43</v>
      </c>
    </row>
    <row r="46" spans="2:17">
      <c r="B46" s="1"/>
      <c r="D46" t="s">
        <v>46</v>
      </c>
      <c r="F46" s="57">
        <f>SUM('Debt Svc - SUP'!B10)</f>
        <v>200832789</v>
      </c>
      <c r="G46" s="24">
        <f>SUM('Debt Svc - SUP'!C10)</f>
        <v>0</v>
      </c>
      <c r="H46" s="116">
        <f>SUM('Debt Svc - SUP'!D10)</f>
        <v>200832789</v>
      </c>
      <c r="I46" s="24">
        <f>SUM('Debt Svc - SUP'!E10)</f>
        <v>0</v>
      </c>
      <c r="J46" s="116">
        <f>'Debt Svc - SUP'!H10</f>
        <v>200014377.97999999</v>
      </c>
      <c r="K46" s="69"/>
      <c r="L46" s="70">
        <f t="shared" ref="L46:L52" si="4">H46-J46</f>
        <v>818411.02000001073</v>
      </c>
      <c r="N46" s="81">
        <f t="shared" ref="N46:N52" si="5">IF(H46,L46/H46,0)</f>
        <v>4.0750866632639892E-3</v>
      </c>
    </row>
    <row r="47" spans="2:17">
      <c r="B47" s="1"/>
      <c r="D47" t="s">
        <v>133</v>
      </c>
      <c r="F47" s="106">
        <f>SUM('Debt Svc - SUP'!B11)</f>
        <v>100000</v>
      </c>
      <c r="G47" s="106">
        <f>SUM('Debt Svc - SUP'!C11)</f>
        <v>0</v>
      </c>
      <c r="H47" s="122">
        <f>SUM('Debt Svc - SUP'!D11)</f>
        <v>100000</v>
      </c>
      <c r="I47" s="106">
        <f>SUM('Debt Svc - SUP'!E11)</f>
        <v>0</v>
      </c>
      <c r="J47" s="122">
        <f>SUM('Debt Svc - SUP'!H11)</f>
        <v>-341420.84</v>
      </c>
      <c r="K47" s="105"/>
      <c r="L47" s="105">
        <f t="shared" si="4"/>
        <v>441420.84</v>
      </c>
      <c r="N47" s="81">
        <f t="shared" si="5"/>
        <v>4.4142084000000006</v>
      </c>
    </row>
    <row r="48" spans="2:17">
      <c r="B48" s="1"/>
      <c r="D48" t="s">
        <v>78</v>
      </c>
      <c r="F48" s="106">
        <f>SUM('Debt Svc - SUP'!B13)</f>
        <v>1340130</v>
      </c>
      <c r="G48" s="106">
        <f>SUM('Debt Svc - SUP'!C13)</f>
        <v>0</v>
      </c>
      <c r="H48" s="122">
        <f>SUM('Debt Svc - SUP'!D13)</f>
        <v>1340130</v>
      </c>
      <c r="I48" s="106">
        <f>SUM('Debt Svc - SUP'!E13)</f>
        <v>0</v>
      </c>
      <c r="J48" s="122">
        <f>SUM('Debt Svc - SUP'!H13)</f>
        <v>923807.49</v>
      </c>
      <c r="K48" s="105"/>
      <c r="L48" s="105">
        <f t="shared" si="4"/>
        <v>416322.51</v>
      </c>
      <c r="N48" s="81">
        <f t="shared" si="5"/>
        <v>0.31065830180654114</v>
      </c>
    </row>
    <row r="49" spans="2:17" ht="13.95" customHeight="1">
      <c r="B49" s="1"/>
      <c r="D49" t="s">
        <v>146</v>
      </c>
      <c r="F49" s="106">
        <f>+SUM('Debt Svc - SUP'!B12)</f>
        <v>113253</v>
      </c>
      <c r="G49" s="106">
        <f>+SUM('Debt Svc - SUP'!C12)</f>
        <v>0</v>
      </c>
      <c r="H49" s="122">
        <f>+SUM('Debt Svc - SUP'!D12)</f>
        <v>113253</v>
      </c>
      <c r="I49" s="106">
        <f>+SUM('Debt Svc - SUP'!E12)</f>
        <v>0</v>
      </c>
      <c r="J49" s="122">
        <f>+SUM('Debt Svc - SUP'!H12)</f>
        <v>32882.400000000001</v>
      </c>
      <c r="K49" s="105"/>
      <c r="L49" s="105">
        <f t="shared" si="4"/>
        <v>80370.600000000006</v>
      </c>
      <c r="N49" s="81">
        <f t="shared" si="5"/>
        <v>0.70965537336759299</v>
      </c>
    </row>
    <row r="50" spans="2:17" hidden="1">
      <c r="B50" s="1"/>
      <c r="D50" t="s">
        <v>150</v>
      </c>
      <c r="F50" s="106">
        <v>0</v>
      </c>
      <c r="G50" s="106">
        <v>0</v>
      </c>
      <c r="H50" s="122">
        <v>0</v>
      </c>
      <c r="I50" s="106">
        <v>0</v>
      </c>
      <c r="J50" s="122">
        <v>0</v>
      </c>
      <c r="K50" s="105"/>
      <c r="L50" s="105">
        <f t="shared" si="4"/>
        <v>0</v>
      </c>
      <c r="N50" s="81">
        <f t="shared" si="5"/>
        <v>0</v>
      </c>
    </row>
    <row r="51" spans="2:17" hidden="1">
      <c r="B51" s="1"/>
      <c r="D51" s="14" t="s">
        <v>171</v>
      </c>
      <c r="F51" s="106">
        <v>0</v>
      </c>
      <c r="G51" s="106" t="e">
        <f>+'Debt Svc - SUP'!#REF!</f>
        <v>#REF!</v>
      </c>
      <c r="H51" s="122">
        <v>0</v>
      </c>
      <c r="I51" s="106" t="e">
        <f>+'Debt Svc - SUP'!#REF!</f>
        <v>#REF!</v>
      </c>
      <c r="J51" s="122">
        <v>0</v>
      </c>
      <c r="K51" s="105"/>
      <c r="L51" s="105">
        <f t="shared" si="4"/>
        <v>0</v>
      </c>
      <c r="N51" s="81">
        <f t="shared" si="5"/>
        <v>0</v>
      </c>
    </row>
    <row r="52" spans="2:17">
      <c r="B52" s="1"/>
      <c r="D52" t="s">
        <v>144</v>
      </c>
      <c r="F52" s="106">
        <f>SUM('Debt Svc - SUP'!B14)</f>
        <v>20318367</v>
      </c>
      <c r="G52" s="106">
        <f>SUM('Debt Svc - SUP'!C14)</f>
        <v>0</v>
      </c>
      <c r="H52" s="122">
        <f>SUM('Debt Svc - SUP'!D14)</f>
        <v>20318367</v>
      </c>
      <c r="I52" s="106">
        <f>SUM('Debt Svc - SUP'!E14)</f>
        <v>0</v>
      </c>
      <c r="J52" s="122">
        <f>SUM('Debt Svc - SUP'!H14)</f>
        <v>0</v>
      </c>
      <c r="K52" s="105"/>
      <c r="L52" s="105">
        <f t="shared" si="4"/>
        <v>20318367</v>
      </c>
      <c r="N52" s="81">
        <f t="shared" si="5"/>
        <v>1</v>
      </c>
    </row>
    <row r="53" spans="2:17" s="1" customFormat="1" ht="13.8" thickBot="1">
      <c r="E53" s="1" t="s">
        <v>41</v>
      </c>
      <c r="F53" s="112">
        <f>SUM(F46:F52)</f>
        <v>222704539</v>
      </c>
      <c r="G53" s="109"/>
      <c r="H53" s="112">
        <f>SUM(H46:H52)</f>
        <v>222704539</v>
      </c>
      <c r="I53" s="109"/>
      <c r="J53" s="112">
        <f>SUM(J46:J52)</f>
        <v>200629647.03</v>
      </c>
      <c r="K53" s="109"/>
      <c r="L53" s="112">
        <f>SUM(L46:L52)</f>
        <v>22074891.97000001</v>
      </c>
      <c r="M53" s="7"/>
      <c r="N53" s="8">
        <f>IF(H53,L53/H53,0)</f>
        <v>9.9121877215084558E-2</v>
      </c>
      <c r="Q53" s="102"/>
    </row>
    <row r="54" spans="2:17" ht="13.8" thickTop="1"/>
    <row r="58" spans="2:17">
      <c r="J58" s="83" t="s">
        <v>43</v>
      </c>
    </row>
    <row r="59" spans="2:17" ht="26.4">
      <c r="F59" s="9" t="s">
        <v>23</v>
      </c>
      <c r="G59" s="9"/>
      <c r="H59" s="9" t="s">
        <v>24</v>
      </c>
      <c r="I59" s="9"/>
      <c r="J59" s="10" t="s">
        <v>11</v>
      </c>
      <c r="K59" s="10"/>
      <c r="L59" s="10" t="s">
        <v>12</v>
      </c>
      <c r="M59" s="10"/>
      <c r="N59" s="10" t="s">
        <v>13</v>
      </c>
    </row>
    <row r="60" spans="2:17">
      <c r="B60" s="1" t="s">
        <v>10</v>
      </c>
    </row>
    <row r="61" spans="2:17">
      <c r="D61" t="s">
        <v>21</v>
      </c>
      <c r="F61" s="57">
        <f>SUM('Debt Svc - EXP'!B12:B28)</f>
        <v>141205000</v>
      </c>
      <c r="G61" s="56">
        <f>SUM('Debt Svc - EXP'!C12:C28)</f>
        <v>0</v>
      </c>
      <c r="H61" s="116">
        <f>SUM('Debt Svc - EXP'!D12:D28)</f>
        <v>141205000</v>
      </c>
      <c r="I61" s="56"/>
      <c r="J61" s="121">
        <f>SUM('Debt Svc - EXP'!G12:G28)</f>
        <v>141205000</v>
      </c>
      <c r="K61" s="113"/>
      <c r="L61" s="70">
        <f>H61-J61</f>
        <v>0</v>
      </c>
      <c r="N61" s="81">
        <f t="shared" ref="N61:N65" si="6">IF(H61,L61/H61,0)</f>
        <v>0</v>
      </c>
    </row>
    <row r="62" spans="2:17">
      <c r="D62" t="s">
        <v>17</v>
      </c>
      <c r="F62" s="106">
        <f>SUM('Debt Svc - EXP'!B29:B48)</f>
        <v>59567218</v>
      </c>
      <c r="G62" s="106">
        <f>SUM('Debt Svc - EXP'!C29:C48)</f>
        <v>0</v>
      </c>
      <c r="H62" s="122">
        <f>SUM('Debt Svc - EXP'!D29:D48)</f>
        <v>59567218</v>
      </c>
      <c r="I62" s="106"/>
      <c r="J62" s="122">
        <f>SUM('Debt Svc - EXP'!G29:G48)</f>
        <v>32027239.399999999</v>
      </c>
      <c r="K62" s="105"/>
      <c r="L62" s="105">
        <f>H62-J62</f>
        <v>27539978.600000001</v>
      </c>
      <c r="N62" s="81">
        <f t="shared" si="6"/>
        <v>0.46233447732945998</v>
      </c>
    </row>
    <row r="63" spans="2:17">
      <c r="D63" t="s">
        <v>6</v>
      </c>
      <c r="F63" s="106">
        <f>SUM('Debt Svc - EXP'!B8,'Debt Svc - EXP'!B11,'Debt Svc - EXP'!B49)</f>
        <v>1932321</v>
      </c>
      <c r="G63" s="106">
        <f>SUM('Debt Svc - EXP'!C8,'Debt Svc - EXP'!C11,'Debt Svc - EXP'!C49)</f>
        <v>0</v>
      </c>
      <c r="H63" s="122">
        <f>SUM('Debt Svc - EXP'!D8,'Debt Svc - EXP'!D11,'Debt Svc - EXP'!D49)</f>
        <v>1932321</v>
      </c>
      <c r="I63" s="106"/>
      <c r="J63" s="122">
        <f>+SUM('Debt Svc - EXP'!G8,'Debt Svc - EXP'!G11,'Debt Svc - EXP'!G49)</f>
        <v>6500</v>
      </c>
      <c r="K63" s="105"/>
      <c r="L63" s="105">
        <f>H63-J63</f>
        <v>1925821</v>
      </c>
      <c r="N63" s="81">
        <f t="shared" si="6"/>
        <v>0.99663616966332202</v>
      </c>
    </row>
    <row r="64" spans="2:17" hidden="1">
      <c r="D64" t="s">
        <v>153</v>
      </c>
      <c r="F64" s="106">
        <f>SUM('Debt Svc - EXP'!B9:B10)</f>
        <v>0</v>
      </c>
      <c r="G64" s="106">
        <f>SUM('Debt Svc - EXP'!C9:C10)</f>
        <v>0</v>
      </c>
      <c r="H64" s="122">
        <f>SUM('Debt Svc - EXP'!D9:D10)</f>
        <v>0</v>
      </c>
      <c r="I64" s="106"/>
      <c r="J64" s="122">
        <f>SUM('Debt Svc - EXP'!G9:G10)</f>
        <v>0</v>
      </c>
      <c r="K64" s="105"/>
      <c r="L64" s="105">
        <f t="shared" ref="L64:L65" si="7">H64-J64</f>
        <v>0</v>
      </c>
      <c r="N64" s="81">
        <f t="shared" si="6"/>
        <v>0</v>
      </c>
      <c r="P64" s="123" t="s">
        <v>170</v>
      </c>
    </row>
    <row r="65" spans="4:17">
      <c r="D65" s="14" t="s">
        <v>152</v>
      </c>
      <c r="F65" s="106">
        <f>SUM('Debt Svc - EXP'!B50)</f>
        <v>20000000</v>
      </c>
      <c r="G65" s="106">
        <f>SUM('Debt Svc - EXP'!C50)</f>
        <v>0</v>
      </c>
      <c r="H65" s="122">
        <f>SUM('Debt Svc - EXP'!D50)</f>
        <v>20000000</v>
      </c>
      <c r="I65" s="106"/>
      <c r="J65" s="122">
        <f>SUM('Debt Svc - EXP'!G50)</f>
        <v>0</v>
      </c>
      <c r="K65" s="105"/>
      <c r="L65" s="105">
        <f t="shared" si="7"/>
        <v>20000000</v>
      </c>
      <c r="N65" s="81">
        <f t="shared" si="6"/>
        <v>1</v>
      </c>
    </row>
    <row r="66" spans="4:17" s="1" customFormat="1" ht="13.8" thickBot="1">
      <c r="E66" s="1" t="s">
        <v>81</v>
      </c>
      <c r="F66" s="112">
        <f>SUM(F61:F65)</f>
        <v>222704539</v>
      </c>
      <c r="G66" s="109"/>
      <c r="H66" s="112">
        <f>SUM(H61:H65)</f>
        <v>222704539</v>
      </c>
      <c r="I66" s="109"/>
      <c r="J66" s="112">
        <f>SUM(J61:J65)</f>
        <v>173238739.40000001</v>
      </c>
      <c r="K66" s="109"/>
      <c r="L66" s="112">
        <f>SUM(L61:L65)</f>
        <v>49465799.600000001</v>
      </c>
      <c r="N66" s="8">
        <f>IF(H66,L66/H66,0)</f>
        <v>0.22211401627516897</v>
      </c>
      <c r="Q66" s="102"/>
    </row>
    <row r="67" spans="4:17" ht="13.8" thickTop="1">
      <c r="J67" s="83" t="s">
        <v>43</v>
      </c>
    </row>
    <row r="68" spans="4:17">
      <c r="H68" s="83" t="s">
        <v>43</v>
      </c>
    </row>
    <row r="69" spans="4:17">
      <c r="F69" s="14" t="s">
        <v>43</v>
      </c>
    </row>
    <row r="70" spans="4:17">
      <c r="F70" s="14" t="s">
        <v>43</v>
      </c>
    </row>
    <row r="78" spans="4:17">
      <c r="E78" t="str" cm="1">
        <f t="array" aca="1" ref="E78" ca="1">CELL("filename")</f>
        <v>C:\Users\nzinsmeyer\AppData\Local\Microsoft\Windows\INetCache\Content.Outlook\NZ8NN1ME\[Mar 26 FINANCIAL REPORT unaudited_UPDATED.xlsx]R&amp;B and Debt Svc</v>
      </c>
    </row>
  </sheetData>
  <mergeCells count="8">
    <mergeCell ref="B43:N43"/>
    <mergeCell ref="B41:N41"/>
    <mergeCell ref="B42:N42"/>
    <mergeCell ref="B3:N3"/>
    <mergeCell ref="B4:N4"/>
    <mergeCell ref="B5:N5"/>
    <mergeCell ref="B40:N40"/>
    <mergeCell ref="B6:N6"/>
  </mergeCells>
  <phoneticPr fontId="3" type="noConversion"/>
  <printOptions horizontalCentered="1"/>
  <pageMargins left="0.7" right="0.7" top="0.75" bottom="0.75" header="0.3" footer="0.3"/>
  <pageSetup fitToHeight="0" orientation="landscape" r:id="rId1"/>
  <headerFooter alignWithMargins="0"/>
  <rowBreaks count="1" manualBreakCount="1">
    <brk id="37" max="16383" man="1"/>
  </rowBreaks>
  <ignoredErrors>
    <ignoredError sqref="F25:K25 H30:J30 F26:J26 F31:J35 G30 F61:J64 F28:J29 G27 I27 F16:J16 F15:I15 F14:I14 I13 F12:I12 F11:I11 F10:I10 J15 J10 J11 J12 F13:H13 J13 J14" formulaRange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C2B2E-9D07-4DD6-BE42-3D4401F0A567}">
  <sheetPr>
    <tabColor rgb="FFFFFF00"/>
  </sheetPr>
  <dimension ref="A1:K35"/>
  <sheetViews>
    <sheetView zoomScale="115" zoomScaleNormal="115" workbookViewId="0">
      <selection sqref="A1:K26"/>
    </sheetView>
  </sheetViews>
  <sheetFormatPr defaultRowHeight="13.2"/>
  <cols>
    <col min="1" max="1" width="43.5546875" bestFit="1" customWidth="1"/>
    <col min="2" max="2" width="15.33203125" customWidth="1"/>
    <col min="3" max="3" width="1.5546875" customWidth="1"/>
    <col min="4" max="4" width="15.33203125" customWidth="1"/>
    <col min="5" max="5" width="1.5546875" customWidth="1"/>
    <col min="6" max="6" width="15.33203125" customWidth="1"/>
    <col min="7" max="7" width="1.5546875" customWidth="1"/>
    <col min="8" max="10" width="15.33203125" customWidth="1"/>
    <col min="11" max="12" width="24.5546875" customWidth="1"/>
  </cols>
  <sheetData>
    <row r="1" spans="1:11">
      <c r="A1" s="128"/>
      <c r="B1" s="128"/>
      <c r="C1" s="128"/>
      <c r="D1" t="s">
        <v>473</v>
      </c>
      <c r="F1" t="s">
        <v>474</v>
      </c>
      <c r="J1" t="s">
        <v>475</v>
      </c>
    </row>
    <row r="2" spans="1:11">
      <c r="A2" s="128"/>
      <c r="B2" s="128"/>
      <c r="C2" s="128"/>
      <c r="D2" t="s">
        <v>476</v>
      </c>
      <c r="F2" t="s">
        <v>477</v>
      </c>
      <c r="J2" t="s">
        <v>178</v>
      </c>
    </row>
    <row r="3" spans="1:11">
      <c r="A3" s="128"/>
      <c r="B3" s="128"/>
      <c r="C3" s="128"/>
      <c r="D3" t="s">
        <v>478</v>
      </c>
      <c r="F3" t="s">
        <v>479</v>
      </c>
    </row>
    <row r="4" spans="1:11">
      <c r="A4" s="128"/>
      <c r="B4" s="128"/>
      <c r="C4" s="128"/>
    </row>
    <row r="5" spans="1:11">
      <c r="A5" s="128" t="s">
        <v>180</v>
      </c>
      <c r="B5" s="128"/>
      <c r="C5" s="128"/>
    </row>
    <row r="6" spans="1:11">
      <c r="A6" s="128" t="s">
        <v>480</v>
      </c>
      <c r="B6" s="128" t="s">
        <v>481</v>
      </c>
      <c r="C6" s="128"/>
      <c r="D6" t="s">
        <v>482</v>
      </c>
      <c r="F6" t="s">
        <v>483</v>
      </c>
      <c r="H6" t="s">
        <v>484</v>
      </c>
      <c r="I6" t="s">
        <v>485</v>
      </c>
    </row>
    <row r="7" spans="1:11">
      <c r="A7" s="128" t="s">
        <v>314</v>
      </c>
      <c r="B7" s="128" t="s">
        <v>486</v>
      </c>
      <c r="C7" s="128"/>
      <c r="D7" t="s">
        <v>487</v>
      </c>
      <c r="F7" t="s">
        <v>488</v>
      </c>
      <c r="H7" t="s">
        <v>0</v>
      </c>
      <c r="I7" t="s">
        <v>489</v>
      </c>
      <c r="J7" t="s">
        <v>490</v>
      </c>
    </row>
    <row r="8" spans="1:11">
      <c r="A8" s="128" t="s">
        <v>491</v>
      </c>
      <c r="B8" s="128" t="s">
        <v>492</v>
      </c>
      <c r="C8" s="128"/>
      <c r="D8" t="s">
        <v>493</v>
      </c>
      <c r="F8" t="s">
        <v>492</v>
      </c>
      <c r="H8" t="s">
        <v>494</v>
      </c>
      <c r="I8" t="s">
        <v>493</v>
      </c>
      <c r="J8" t="s">
        <v>257</v>
      </c>
    </row>
    <row r="9" spans="1:11">
      <c r="A9" s="128"/>
      <c r="B9" s="128"/>
      <c r="C9" s="128"/>
    </row>
    <row r="10" spans="1:11">
      <c r="A10" s="128" t="s">
        <v>495</v>
      </c>
      <c r="B10" s="137">
        <v>62160140</v>
      </c>
      <c r="C10" s="137"/>
      <c r="D10" s="2">
        <v>62160140</v>
      </c>
      <c r="E10" s="2"/>
      <c r="F10" s="2">
        <v>618827.14</v>
      </c>
      <c r="G10" s="2"/>
      <c r="H10" s="2">
        <v>62083762.310000002</v>
      </c>
      <c r="I10" s="2">
        <v>76377.69</v>
      </c>
      <c r="J10">
        <v>0</v>
      </c>
    </row>
    <row r="11" spans="1:11">
      <c r="A11" s="128" t="s">
        <v>496</v>
      </c>
      <c r="B11" s="137">
        <v>12225</v>
      </c>
      <c r="C11" s="137"/>
      <c r="D11" s="2">
        <v>12225</v>
      </c>
      <c r="E11" s="2"/>
      <c r="F11" s="2">
        <v>18589.37</v>
      </c>
      <c r="G11" s="2"/>
      <c r="H11" s="2">
        <v>-92137.66</v>
      </c>
      <c r="I11" s="2">
        <v>104362.66</v>
      </c>
      <c r="J11">
        <v>-854</v>
      </c>
    </row>
    <row r="12" spans="1:11">
      <c r="A12" s="128" t="s">
        <v>497</v>
      </c>
      <c r="B12" s="137">
        <v>66175</v>
      </c>
      <c r="C12" s="137"/>
      <c r="D12" s="2">
        <v>66175</v>
      </c>
      <c r="E12" s="2"/>
      <c r="F12" s="2">
        <v>38046.58</v>
      </c>
      <c r="G12" s="2"/>
      <c r="H12" s="2">
        <v>66108.039999999994</v>
      </c>
      <c r="I12" s="2">
        <v>66.959999999999994</v>
      </c>
      <c r="J12" s="2">
        <v>0</v>
      </c>
      <c r="K12" s="2"/>
    </row>
    <row r="13" spans="1:11">
      <c r="A13" s="128" t="s">
        <v>498</v>
      </c>
      <c r="B13" s="137">
        <v>17850</v>
      </c>
      <c r="C13" s="137"/>
      <c r="D13" s="2">
        <v>17850</v>
      </c>
      <c r="E13" s="2"/>
      <c r="F13" s="2">
        <v>2525.46</v>
      </c>
      <c r="G13" s="2"/>
      <c r="H13" s="2">
        <v>29126.52</v>
      </c>
      <c r="I13" s="2">
        <v>-11276.52</v>
      </c>
      <c r="J13" s="2">
        <v>63</v>
      </c>
      <c r="K13" s="2"/>
    </row>
    <row r="14" spans="1:11">
      <c r="A14" s="128" t="s">
        <v>499</v>
      </c>
      <c r="B14" s="137">
        <v>10650</v>
      </c>
      <c r="C14" s="137"/>
      <c r="D14" s="2">
        <v>10650</v>
      </c>
      <c r="E14" s="2"/>
      <c r="F14" s="2">
        <v>1605.17</v>
      </c>
      <c r="G14" s="2"/>
      <c r="H14" s="2">
        <v>22934.16</v>
      </c>
      <c r="I14" s="2">
        <v>-12284.16</v>
      </c>
      <c r="J14" s="2">
        <v>115</v>
      </c>
      <c r="K14" s="2"/>
    </row>
    <row r="15" spans="1:11">
      <c r="A15" s="128" t="s">
        <v>500</v>
      </c>
      <c r="B15" s="137">
        <v>150000</v>
      </c>
      <c r="C15" s="137"/>
      <c r="D15" s="2">
        <v>150000</v>
      </c>
      <c r="E15" s="2"/>
      <c r="F15">
        <v>0</v>
      </c>
      <c r="H15">
        <v>0</v>
      </c>
      <c r="I15" s="2">
        <v>150000</v>
      </c>
      <c r="J15">
        <v>-100</v>
      </c>
    </row>
    <row r="16" spans="1:11">
      <c r="A16" s="128" t="s">
        <v>501</v>
      </c>
      <c r="B16" s="137">
        <v>75000</v>
      </c>
      <c r="C16" s="137"/>
      <c r="D16" s="2">
        <v>75000</v>
      </c>
      <c r="E16" s="2"/>
      <c r="F16" s="2">
        <v>0</v>
      </c>
      <c r="G16" s="2"/>
      <c r="H16" s="2">
        <v>70625.27</v>
      </c>
      <c r="I16" s="2">
        <v>4374.7299999999996</v>
      </c>
      <c r="J16" s="2">
        <v>-6</v>
      </c>
      <c r="K16" s="2"/>
    </row>
    <row r="17" spans="1:11">
      <c r="A17" s="128" t="s">
        <v>502</v>
      </c>
      <c r="B17" s="137">
        <v>360000</v>
      </c>
      <c r="C17" s="137"/>
      <c r="D17" s="2">
        <v>360000</v>
      </c>
      <c r="E17" s="2"/>
      <c r="F17">
        <v>0</v>
      </c>
      <c r="H17" s="2">
        <v>360000</v>
      </c>
      <c r="I17">
        <v>0</v>
      </c>
      <c r="J17">
        <v>0</v>
      </c>
    </row>
    <row r="18" spans="1:11">
      <c r="A18" s="128" t="s">
        <v>503</v>
      </c>
      <c r="B18" s="137">
        <v>5700000</v>
      </c>
      <c r="C18" s="137"/>
      <c r="D18" s="2">
        <v>5700000</v>
      </c>
      <c r="E18" s="2"/>
      <c r="F18" s="2">
        <v>535390</v>
      </c>
      <c r="G18" s="2"/>
      <c r="H18" s="2">
        <v>2845190</v>
      </c>
      <c r="I18" s="2">
        <v>2854810</v>
      </c>
      <c r="J18">
        <v>-50</v>
      </c>
    </row>
    <row r="19" spans="1:11">
      <c r="A19" s="128" t="s">
        <v>504</v>
      </c>
      <c r="B19" s="137">
        <v>2295000</v>
      </c>
      <c r="C19" s="137"/>
      <c r="D19" s="2">
        <v>2295000</v>
      </c>
      <c r="E19" s="2"/>
      <c r="F19" s="2">
        <v>164307.47</v>
      </c>
      <c r="G19" s="2"/>
      <c r="H19" s="2">
        <v>982861.97</v>
      </c>
      <c r="I19" s="2">
        <v>1312138.03</v>
      </c>
      <c r="J19">
        <v>-57</v>
      </c>
    </row>
    <row r="20" spans="1:11">
      <c r="A20" s="128" t="s">
        <v>505</v>
      </c>
      <c r="B20" s="128">
        <v>0</v>
      </c>
      <c r="C20" s="128"/>
      <c r="D20">
        <v>0</v>
      </c>
      <c r="F20">
        <v>0</v>
      </c>
      <c r="H20" s="2">
        <v>-36254.19</v>
      </c>
      <c r="I20" s="2">
        <v>36254.19</v>
      </c>
      <c r="J20" t="s">
        <v>217</v>
      </c>
    </row>
    <row r="21" spans="1:11">
      <c r="A21" s="128" t="s">
        <v>506</v>
      </c>
      <c r="B21" s="137">
        <v>100000</v>
      </c>
      <c r="C21" s="137"/>
      <c r="D21" s="2">
        <v>100000</v>
      </c>
      <c r="E21" s="2"/>
      <c r="F21">
        <v>0</v>
      </c>
      <c r="H21">
        <v>0</v>
      </c>
      <c r="I21" s="2">
        <v>100000</v>
      </c>
      <c r="J21">
        <v>-100</v>
      </c>
    </row>
    <row r="22" spans="1:11">
      <c r="A22" s="128" t="s">
        <v>507</v>
      </c>
      <c r="B22" s="2">
        <v>700000</v>
      </c>
      <c r="C22" s="2"/>
      <c r="D22" s="2">
        <v>700000</v>
      </c>
      <c r="E22" s="2"/>
      <c r="F22">
        <v>0</v>
      </c>
      <c r="H22" s="2">
        <v>256354.19</v>
      </c>
      <c r="I22" s="2">
        <v>443645.81</v>
      </c>
      <c r="J22">
        <v>-63</v>
      </c>
    </row>
    <row r="23" spans="1:11">
      <c r="A23" s="128" t="s">
        <v>508</v>
      </c>
      <c r="B23" s="2">
        <v>900000</v>
      </c>
      <c r="C23" s="2"/>
      <c r="D23" s="2">
        <v>900000</v>
      </c>
      <c r="E23" s="2"/>
      <c r="F23" s="2">
        <v>92760.75</v>
      </c>
      <c r="G23" s="2"/>
      <c r="H23" s="2">
        <v>290390.25</v>
      </c>
      <c r="I23" s="2">
        <v>609609.75</v>
      </c>
      <c r="J23">
        <v>-68</v>
      </c>
      <c r="K23" s="2"/>
    </row>
    <row r="24" spans="1:11">
      <c r="A24" s="128" t="s">
        <v>509</v>
      </c>
      <c r="B24" s="2">
        <v>10000</v>
      </c>
      <c r="C24" s="2"/>
      <c r="D24" s="2">
        <v>10000</v>
      </c>
      <c r="E24" s="2"/>
      <c r="F24" s="2">
        <v>2338.34</v>
      </c>
      <c r="G24" s="2"/>
      <c r="H24" s="2">
        <v>525516.51</v>
      </c>
      <c r="I24" s="2">
        <v>-515516.51</v>
      </c>
      <c r="J24">
        <v>5155</v>
      </c>
      <c r="K24" s="2"/>
    </row>
    <row r="25" spans="1:11">
      <c r="A25" s="128" t="s">
        <v>407</v>
      </c>
      <c r="B25" s="137">
        <v>72557040</v>
      </c>
      <c r="C25" s="137"/>
      <c r="D25" s="2">
        <v>72557040</v>
      </c>
      <c r="E25" s="2"/>
      <c r="F25" s="2">
        <v>1474390.28</v>
      </c>
      <c r="G25" s="2"/>
      <c r="H25" s="2">
        <v>67404477.370000005</v>
      </c>
      <c r="I25" s="2">
        <v>5152562.63</v>
      </c>
      <c r="J25">
        <v>-7</v>
      </c>
      <c r="K25" s="2"/>
    </row>
    <row r="26" spans="1:11">
      <c r="A26" s="128" t="s">
        <v>173</v>
      </c>
      <c r="B26" s="128"/>
      <c r="C26" s="128"/>
      <c r="D26" s="2"/>
      <c r="E26" s="2"/>
      <c r="F26" s="2"/>
      <c r="G26" s="2"/>
      <c r="H26" s="2"/>
      <c r="I26" s="2"/>
      <c r="J26" s="2"/>
    </row>
    <row r="27" spans="1:11">
      <c r="A27" s="137"/>
      <c r="B27" s="137"/>
      <c r="C27" s="137"/>
      <c r="D27" s="2"/>
      <c r="E27" s="2"/>
      <c r="F27" s="2"/>
      <c r="G27" s="2"/>
      <c r="H27" s="2"/>
      <c r="I27" s="2"/>
      <c r="J27" s="2"/>
      <c r="K27" s="2"/>
    </row>
    <row r="28" spans="1:11">
      <c r="A28" s="137"/>
      <c r="B28" s="137"/>
      <c r="C28" s="137"/>
      <c r="D28" s="2"/>
      <c r="E28" s="2"/>
      <c r="F28" s="2"/>
      <c r="G28" s="2"/>
      <c r="H28" s="2"/>
      <c r="I28" s="2"/>
      <c r="J28" s="2"/>
    </row>
    <row r="29" spans="1:11">
      <c r="A29" s="137"/>
      <c r="B29" s="137"/>
      <c r="C29" s="137"/>
      <c r="D29" s="2"/>
      <c r="E29" s="2"/>
      <c r="F29" s="2"/>
      <c r="G29" s="2"/>
      <c r="J29" s="2"/>
    </row>
    <row r="30" spans="1:11">
      <c r="A30" s="128"/>
      <c r="B30" s="128"/>
      <c r="C30" s="128"/>
      <c r="D30" s="2"/>
      <c r="E30" s="2"/>
      <c r="F30" s="2"/>
      <c r="G30" s="2"/>
      <c r="H30" s="2"/>
      <c r="I30" s="2"/>
      <c r="J30" s="2"/>
      <c r="K30" s="2"/>
    </row>
    <row r="31" spans="1:11">
      <c r="A31" s="137"/>
      <c r="B31" s="137"/>
      <c r="C31" s="137"/>
      <c r="D31" s="2"/>
      <c r="E31" s="2"/>
      <c r="F31" s="2"/>
      <c r="G31" s="2"/>
      <c r="H31" s="2"/>
      <c r="I31" s="2"/>
      <c r="J31" s="2"/>
    </row>
    <row r="32" spans="1:11">
      <c r="A32" s="128"/>
      <c r="B32" s="128"/>
      <c r="C32" s="128"/>
    </row>
    <row r="33" spans="1:10">
      <c r="A33" s="128"/>
      <c r="B33" s="128"/>
      <c r="C33" s="128"/>
      <c r="D33" s="2"/>
      <c r="E33" s="2"/>
      <c r="F33" s="2"/>
      <c r="G33" s="2"/>
      <c r="H33" s="2"/>
      <c r="I33" s="2"/>
      <c r="J33" s="2"/>
    </row>
    <row r="34" spans="1:10">
      <c r="A34" s="137"/>
      <c r="B34" s="137"/>
      <c r="C34" s="137"/>
      <c r="D34" s="2"/>
      <c r="E34" s="2"/>
      <c r="F34" s="2"/>
      <c r="G34" s="2"/>
      <c r="H34" s="2"/>
      <c r="I34" s="2"/>
      <c r="J34" s="2"/>
    </row>
    <row r="35" spans="1:10">
      <c r="A35" s="128"/>
      <c r="B35" s="128"/>
      <c r="C35" s="1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3DDB5-8E0C-43C5-9C57-EB107FD0D460}">
  <sheetPr>
    <tabColor rgb="FFFFFF00"/>
  </sheetPr>
  <dimension ref="A1:S97"/>
  <sheetViews>
    <sheetView zoomScale="85" zoomScaleNormal="85" workbookViewId="0">
      <pane ySplit="7" topLeftCell="A53" activePane="bottomLeft" state="frozen"/>
      <selection pane="bottomLeft" activeCell="G79" sqref="G79"/>
    </sheetView>
  </sheetViews>
  <sheetFormatPr defaultRowHeight="13.2"/>
  <cols>
    <col min="1" max="1" width="44.88671875" bestFit="1" customWidth="1"/>
    <col min="2" max="2" width="26" style="105" bestFit="1" customWidth="1"/>
    <col min="3" max="3" width="2.5546875" style="105" customWidth="1"/>
    <col min="4" max="4" width="25.33203125" style="105" bestFit="1" customWidth="1"/>
    <col min="5" max="5" width="23" style="105" bestFit="1" customWidth="1"/>
    <col min="6" max="6" width="20" style="105" bestFit="1" customWidth="1"/>
    <col min="7" max="7" width="23.5546875" style="105" bestFit="1" customWidth="1"/>
    <col min="8" max="8" width="17.6640625" style="105" bestFit="1" customWidth="1"/>
    <col min="9" max="9" width="11.33203125" bestFit="1" customWidth="1"/>
    <col min="12" max="12" width="39.33203125" customWidth="1"/>
    <col min="13" max="13" width="26" bestFit="1" customWidth="1"/>
    <col min="14" max="14" width="2" customWidth="1"/>
    <col min="15" max="15" width="25.33203125" bestFit="1" customWidth="1"/>
    <col min="16" max="16" width="23" bestFit="1" customWidth="1"/>
    <col min="17" max="17" width="20" bestFit="1" customWidth="1"/>
    <col min="18" max="18" width="23.5546875" bestFit="1" customWidth="1"/>
    <col min="19" max="19" width="17.6640625" bestFit="1" customWidth="1"/>
    <col min="20" max="20" width="11.44140625" bestFit="1" customWidth="1"/>
  </cols>
  <sheetData>
    <row r="1" spans="1:19">
      <c r="A1" s="128"/>
      <c r="D1" s="105" t="s">
        <v>301</v>
      </c>
      <c r="E1" s="105" t="s">
        <v>302</v>
      </c>
      <c r="H1" t="s">
        <v>451</v>
      </c>
      <c r="I1" t="s">
        <v>471</v>
      </c>
      <c r="L1" s="128"/>
    </row>
    <row r="2" spans="1:19">
      <c r="A2" s="128"/>
      <c r="B2" s="105" t="s">
        <v>303</v>
      </c>
      <c r="D2" s="105" t="s">
        <v>304</v>
      </c>
      <c r="E2" s="105" t="s">
        <v>305</v>
      </c>
      <c r="H2"/>
      <c r="I2" t="s">
        <v>178</v>
      </c>
      <c r="L2" s="128"/>
    </row>
    <row r="3" spans="1:19">
      <c r="A3" s="128"/>
      <c r="D3" s="105" t="s">
        <v>306</v>
      </c>
      <c r="E3" t="s">
        <v>472</v>
      </c>
      <c r="L3" s="128"/>
    </row>
    <row r="4" spans="1:19">
      <c r="A4" s="128"/>
      <c r="L4" s="128"/>
    </row>
    <row r="5" spans="1:19">
      <c r="A5" s="128" t="s">
        <v>180</v>
      </c>
      <c r="L5" s="128"/>
    </row>
    <row r="6" spans="1:19">
      <c r="A6" s="128" t="s">
        <v>307</v>
      </c>
      <c r="B6" s="105" t="s">
        <v>308</v>
      </c>
      <c r="D6" s="105" t="s">
        <v>309</v>
      </c>
      <c r="E6" s="105" t="s">
        <v>310</v>
      </c>
      <c r="F6" s="105" t="s">
        <v>311</v>
      </c>
      <c r="G6" s="105" t="s">
        <v>312</v>
      </c>
      <c r="H6" s="105" t="s">
        <v>313</v>
      </c>
      <c r="L6" s="128"/>
    </row>
    <row r="7" spans="1:19">
      <c r="A7" s="128" t="s">
        <v>314</v>
      </c>
      <c r="B7" s="105" t="s">
        <v>23</v>
      </c>
      <c r="D7" s="105" t="s">
        <v>24</v>
      </c>
      <c r="E7" s="105" t="s">
        <v>315</v>
      </c>
      <c r="F7" s="105" t="s">
        <v>316</v>
      </c>
      <c r="G7" s="105" t="s">
        <v>317</v>
      </c>
      <c r="H7" s="105" t="s">
        <v>318</v>
      </c>
      <c r="I7" t="s">
        <v>319</v>
      </c>
      <c r="L7" s="128"/>
    </row>
    <row r="8" spans="1:19">
      <c r="A8" s="128" t="s">
        <v>320</v>
      </c>
      <c r="B8" s="105">
        <v>29997000</v>
      </c>
      <c r="D8" s="105">
        <v>31017000</v>
      </c>
      <c r="E8" s="105">
        <v>2320872.75</v>
      </c>
      <c r="F8" s="105">
        <v>10428267.779999999</v>
      </c>
      <c r="G8" s="105">
        <v>10428267.779999999</v>
      </c>
      <c r="H8" s="105">
        <v>20588732.219999999</v>
      </c>
      <c r="I8">
        <v>66</v>
      </c>
      <c r="L8" s="128"/>
      <c r="M8" s="2"/>
      <c r="N8" s="2"/>
      <c r="O8" s="2"/>
      <c r="P8" s="2"/>
      <c r="Q8" s="2"/>
      <c r="R8" s="2"/>
      <c r="S8" s="2"/>
    </row>
    <row r="9" spans="1:19">
      <c r="A9" s="129" t="s">
        <v>321</v>
      </c>
      <c r="B9" s="130">
        <v>11862066.02</v>
      </c>
      <c r="C9" s="130"/>
      <c r="D9" s="105">
        <v>12095067.52</v>
      </c>
      <c r="E9" s="105">
        <v>863940.85</v>
      </c>
      <c r="F9" s="105">
        <v>4861206.9400000004</v>
      </c>
      <c r="G9" s="105">
        <v>4861206.9400000004</v>
      </c>
      <c r="H9" s="105">
        <v>7233860.5800000001</v>
      </c>
      <c r="I9">
        <v>60</v>
      </c>
      <c r="L9" s="128"/>
      <c r="M9" s="2"/>
      <c r="N9" s="2"/>
      <c r="O9" s="2"/>
      <c r="P9" s="2"/>
      <c r="Q9" s="2"/>
      <c r="R9" s="2"/>
      <c r="S9" s="2"/>
    </row>
    <row r="10" spans="1:19">
      <c r="A10" s="129" t="s">
        <v>322</v>
      </c>
      <c r="B10" s="130">
        <v>43283.64</v>
      </c>
      <c r="C10" s="130"/>
      <c r="D10" s="105">
        <v>43283.64</v>
      </c>
      <c r="E10" s="105">
        <v>0</v>
      </c>
      <c r="F10" s="105">
        <v>0</v>
      </c>
      <c r="G10" s="105">
        <v>0</v>
      </c>
      <c r="H10" s="105">
        <v>43283.64</v>
      </c>
      <c r="I10">
        <v>100</v>
      </c>
      <c r="L10" s="128"/>
      <c r="M10" s="2"/>
      <c r="N10" s="2"/>
      <c r="O10" s="2"/>
      <c r="Q10" s="2"/>
      <c r="R10" s="2"/>
      <c r="S10" s="2"/>
    </row>
    <row r="11" spans="1:19">
      <c r="A11" s="129" t="s">
        <v>323</v>
      </c>
      <c r="B11" s="130">
        <v>33600</v>
      </c>
      <c r="C11" s="130"/>
      <c r="D11" s="105">
        <v>33600</v>
      </c>
      <c r="E11" s="105">
        <v>0</v>
      </c>
      <c r="F11" s="105">
        <v>0</v>
      </c>
      <c r="G11" s="105">
        <v>0</v>
      </c>
      <c r="H11" s="105">
        <v>33600</v>
      </c>
      <c r="I11">
        <v>100</v>
      </c>
      <c r="L11" s="128"/>
      <c r="M11" s="2"/>
      <c r="N11" s="2"/>
      <c r="O11" s="2"/>
      <c r="P11" s="2"/>
      <c r="Q11" s="2"/>
      <c r="R11" s="2"/>
      <c r="S11" s="2"/>
    </row>
    <row r="12" spans="1:19">
      <c r="A12" s="129" t="s">
        <v>324</v>
      </c>
      <c r="B12" s="130">
        <v>10902</v>
      </c>
      <c r="C12" s="130"/>
      <c r="D12" s="105">
        <v>10902</v>
      </c>
      <c r="E12" s="105">
        <v>0</v>
      </c>
      <c r="F12" s="105">
        <v>3920</v>
      </c>
      <c r="G12" s="105">
        <v>3920</v>
      </c>
      <c r="H12" s="105">
        <v>6982</v>
      </c>
      <c r="I12">
        <v>64</v>
      </c>
      <c r="L12" s="128"/>
      <c r="M12" s="2"/>
      <c r="N12" s="2"/>
      <c r="O12" s="2"/>
      <c r="P12" s="2"/>
      <c r="Q12" s="2"/>
      <c r="R12" s="2"/>
      <c r="S12" s="2"/>
    </row>
    <row r="13" spans="1:19">
      <c r="A13" s="129" t="s">
        <v>325</v>
      </c>
      <c r="B13" s="130">
        <v>194120</v>
      </c>
      <c r="C13" s="130"/>
      <c r="D13" s="105">
        <v>194120</v>
      </c>
      <c r="E13" s="105">
        <v>11281.2</v>
      </c>
      <c r="F13" s="105">
        <v>103216.31</v>
      </c>
      <c r="G13" s="105">
        <v>103216.31</v>
      </c>
      <c r="H13" s="105">
        <v>90903.69</v>
      </c>
      <c r="I13">
        <v>47</v>
      </c>
      <c r="L13" s="128"/>
      <c r="M13" s="2"/>
      <c r="N13" s="2"/>
      <c r="O13" s="2"/>
      <c r="P13" s="2"/>
      <c r="Q13" s="2"/>
      <c r="R13" s="2"/>
      <c r="S13" s="2"/>
    </row>
    <row r="14" spans="1:19">
      <c r="A14" s="129" t="s">
        <v>326</v>
      </c>
      <c r="B14" s="130">
        <v>123323.2</v>
      </c>
      <c r="C14" s="130"/>
      <c r="D14" s="105">
        <v>123323.2</v>
      </c>
      <c r="E14" s="105">
        <v>8630.4</v>
      </c>
      <c r="F14" s="105">
        <v>51080.639999999999</v>
      </c>
      <c r="G14" s="105">
        <v>51080.639999999999</v>
      </c>
      <c r="H14" s="105">
        <v>72242.559999999998</v>
      </c>
      <c r="I14">
        <v>59</v>
      </c>
      <c r="L14" s="128"/>
      <c r="M14" s="2"/>
      <c r="N14" s="2"/>
      <c r="O14" s="2"/>
      <c r="P14" s="2"/>
      <c r="Q14" s="2"/>
      <c r="R14" s="2"/>
      <c r="S14" s="2"/>
    </row>
    <row r="15" spans="1:19">
      <c r="A15" s="129" t="s">
        <v>327</v>
      </c>
      <c r="B15" s="130">
        <v>233071.95</v>
      </c>
      <c r="C15" s="130"/>
      <c r="D15" s="105">
        <v>70.45</v>
      </c>
      <c r="E15" s="105">
        <v>0</v>
      </c>
      <c r="F15" s="105">
        <v>0</v>
      </c>
      <c r="G15" s="105">
        <v>0</v>
      </c>
      <c r="H15" s="105">
        <v>70.45</v>
      </c>
      <c r="I15">
        <v>100</v>
      </c>
      <c r="L15" s="128"/>
      <c r="M15" s="2"/>
      <c r="N15" s="2"/>
      <c r="O15" s="2"/>
      <c r="S15" s="2"/>
    </row>
    <row r="16" spans="1:19">
      <c r="A16" s="129" t="s">
        <v>328</v>
      </c>
      <c r="B16" s="130">
        <v>90000</v>
      </c>
      <c r="C16" s="130"/>
      <c r="D16" s="105">
        <v>90000</v>
      </c>
      <c r="E16" s="105">
        <v>9573.1299999999992</v>
      </c>
      <c r="F16" s="105">
        <v>47660.28</v>
      </c>
      <c r="G16" s="105">
        <v>47660.28</v>
      </c>
      <c r="H16" s="105">
        <v>42339.72</v>
      </c>
      <c r="I16">
        <v>47</v>
      </c>
      <c r="L16" s="128"/>
      <c r="M16" s="2"/>
      <c r="N16" s="2"/>
      <c r="O16" s="2"/>
      <c r="P16" s="2"/>
      <c r="Q16" s="2"/>
      <c r="R16" s="2"/>
      <c r="S16" s="2"/>
    </row>
    <row r="17" spans="1:19">
      <c r="A17" s="129" t="s">
        <v>329</v>
      </c>
      <c r="B17" s="130">
        <v>1200</v>
      </c>
      <c r="C17" s="130"/>
      <c r="D17" s="105">
        <v>1200</v>
      </c>
      <c r="E17" s="105">
        <v>0</v>
      </c>
      <c r="F17" s="105">
        <v>0</v>
      </c>
      <c r="G17" s="105">
        <v>0</v>
      </c>
      <c r="H17" s="105">
        <v>1200</v>
      </c>
      <c r="I17">
        <v>100</v>
      </c>
      <c r="L17" s="128"/>
      <c r="M17" s="2"/>
      <c r="N17" s="2"/>
      <c r="O17" s="2"/>
      <c r="P17" s="2"/>
      <c r="Q17" s="2"/>
      <c r="R17" s="2"/>
      <c r="S17" s="2"/>
    </row>
    <row r="18" spans="1:19">
      <c r="A18" s="132" t="s">
        <v>330</v>
      </c>
      <c r="B18" s="131">
        <v>960671.29</v>
      </c>
      <c r="D18" s="105">
        <v>960671.29</v>
      </c>
      <c r="E18" s="105">
        <v>64881.63</v>
      </c>
      <c r="F18" s="105">
        <v>369675.05</v>
      </c>
      <c r="G18" s="105">
        <v>369675.05</v>
      </c>
      <c r="H18" s="105">
        <v>590996.24</v>
      </c>
      <c r="I18">
        <v>62</v>
      </c>
      <c r="L18" s="128"/>
      <c r="M18" s="2"/>
      <c r="N18" s="2"/>
      <c r="O18" s="2"/>
      <c r="P18" s="2"/>
      <c r="Q18" s="2"/>
      <c r="R18" s="2"/>
      <c r="S18" s="2"/>
    </row>
    <row r="19" spans="1:19">
      <c r="A19" s="132" t="s">
        <v>331</v>
      </c>
      <c r="B19" s="131">
        <v>1916649.04</v>
      </c>
      <c r="D19" s="105">
        <v>1916649.04</v>
      </c>
      <c r="E19" s="105">
        <v>134013.95000000001</v>
      </c>
      <c r="F19" s="105">
        <v>785365.28</v>
      </c>
      <c r="G19" s="105">
        <v>785365.28</v>
      </c>
      <c r="H19" s="105">
        <v>1131283.76</v>
      </c>
      <c r="I19">
        <v>59</v>
      </c>
      <c r="L19" s="128"/>
      <c r="M19" s="2"/>
      <c r="N19" s="2"/>
      <c r="O19" s="2"/>
      <c r="P19" s="2"/>
      <c r="Q19" s="2"/>
      <c r="R19" s="2"/>
      <c r="S19" s="2"/>
    </row>
    <row r="20" spans="1:19">
      <c r="A20" s="132" t="s">
        <v>332</v>
      </c>
      <c r="B20" s="131">
        <v>1720747.2</v>
      </c>
      <c r="D20" s="105">
        <v>1720747.2</v>
      </c>
      <c r="E20" s="105">
        <v>143395.6</v>
      </c>
      <c r="F20" s="105">
        <v>860373.6</v>
      </c>
      <c r="G20" s="105">
        <v>860373.6</v>
      </c>
      <c r="H20" s="105">
        <v>860373.6</v>
      </c>
      <c r="I20">
        <v>50</v>
      </c>
      <c r="L20" s="128"/>
      <c r="M20" s="2"/>
      <c r="N20" s="2"/>
      <c r="O20" s="2"/>
      <c r="P20" s="2"/>
      <c r="Q20" s="2"/>
      <c r="R20" s="2"/>
      <c r="S20" s="2"/>
    </row>
    <row r="21" spans="1:19">
      <c r="A21" s="132" t="s">
        <v>333</v>
      </c>
      <c r="B21" s="131">
        <v>466680.82</v>
      </c>
      <c r="D21" s="105">
        <v>477186</v>
      </c>
      <c r="E21" s="105">
        <v>477186</v>
      </c>
      <c r="F21" s="105">
        <v>477186</v>
      </c>
      <c r="G21" s="105">
        <v>477186</v>
      </c>
      <c r="H21" s="105">
        <v>0</v>
      </c>
      <c r="I21">
        <v>0</v>
      </c>
      <c r="L21" s="128"/>
      <c r="M21" s="2"/>
      <c r="N21" s="2"/>
      <c r="O21" s="2"/>
      <c r="P21" s="2"/>
      <c r="Q21" s="2"/>
      <c r="R21" s="2"/>
    </row>
    <row r="22" spans="1:19">
      <c r="A22" s="132" t="s">
        <v>334</v>
      </c>
      <c r="B22" s="131">
        <v>184680</v>
      </c>
      <c r="D22" s="105">
        <v>184680</v>
      </c>
      <c r="E22" s="105">
        <v>8440</v>
      </c>
      <c r="F22" s="105">
        <v>47264</v>
      </c>
      <c r="G22" s="105">
        <v>47264</v>
      </c>
      <c r="H22" s="105">
        <v>137416</v>
      </c>
      <c r="I22">
        <v>74</v>
      </c>
      <c r="L22" s="128"/>
      <c r="M22" s="2"/>
      <c r="N22" s="2"/>
      <c r="O22" s="2"/>
      <c r="P22" s="2"/>
      <c r="Q22" s="2"/>
      <c r="R22" s="2"/>
      <c r="S22" s="2"/>
    </row>
    <row r="23" spans="1:19">
      <c r="A23" s="132" t="s">
        <v>335</v>
      </c>
      <c r="B23" s="131">
        <v>510</v>
      </c>
      <c r="D23" s="105">
        <v>510</v>
      </c>
      <c r="E23" s="105">
        <v>0</v>
      </c>
      <c r="F23" s="105">
        <v>132</v>
      </c>
      <c r="G23" s="105">
        <v>132</v>
      </c>
      <c r="H23" s="105">
        <v>378</v>
      </c>
      <c r="I23">
        <v>74</v>
      </c>
      <c r="L23" s="128"/>
      <c r="M23" s="2"/>
      <c r="N23" s="2"/>
      <c r="O23" s="2"/>
      <c r="S23" s="2"/>
    </row>
    <row r="24" spans="1:19">
      <c r="A24" s="128" t="s">
        <v>336</v>
      </c>
      <c r="B24" s="105">
        <v>50000</v>
      </c>
      <c r="D24" s="105">
        <v>50000</v>
      </c>
      <c r="E24" s="105">
        <v>4803.18</v>
      </c>
      <c r="F24" s="105">
        <v>27478.12</v>
      </c>
      <c r="G24" s="105">
        <v>30369.13</v>
      </c>
      <c r="H24" s="105">
        <v>19630.87</v>
      </c>
      <c r="I24">
        <v>39</v>
      </c>
      <c r="L24" s="128"/>
      <c r="M24" s="2"/>
      <c r="N24" s="2"/>
      <c r="O24" s="2"/>
      <c r="P24" s="2"/>
      <c r="Q24" s="2"/>
      <c r="R24" s="2"/>
      <c r="S24" s="2"/>
    </row>
    <row r="25" spans="1:19">
      <c r="A25" s="128" t="s">
        <v>337</v>
      </c>
      <c r="B25" s="105">
        <v>4640</v>
      </c>
      <c r="D25" s="105">
        <v>4640</v>
      </c>
      <c r="E25" s="105">
        <v>400.91</v>
      </c>
      <c r="F25" s="105">
        <v>900.49</v>
      </c>
      <c r="G25" s="105">
        <v>900.49</v>
      </c>
      <c r="H25" s="105">
        <v>3739.51</v>
      </c>
      <c r="I25">
        <v>81</v>
      </c>
      <c r="L25" s="128"/>
      <c r="M25" s="2"/>
      <c r="N25" s="2"/>
      <c r="O25" s="2"/>
      <c r="Q25" s="2"/>
      <c r="R25" s="2"/>
      <c r="S25" s="2"/>
    </row>
    <row r="26" spans="1:19">
      <c r="A26" s="128" t="s">
        <v>338</v>
      </c>
      <c r="B26" s="105">
        <v>25400</v>
      </c>
      <c r="D26" s="105">
        <v>19900</v>
      </c>
      <c r="E26" s="105">
        <v>740.98</v>
      </c>
      <c r="F26" s="105">
        <v>3684.9</v>
      </c>
      <c r="G26" s="105">
        <v>8110.92</v>
      </c>
      <c r="H26" s="105">
        <v>11789.08</v>
      </c>
      <c r="I26">
        <v>59</v>
      </c>
      <c r="L26" s="128"/>
      <c r="M26" s="2"/>
      <c r="N26" s="2"/>
      <c r="O26" s="2"/>
      <c r="P26" s="2"/>
      <c r="Q26" s="2"/>
      <c r="R26" s="2"/>
      <c r="S26" s="2"/>
    </row>
    <row r="27" spans="1:19">
      <c r="A27" s="128" t="s">
        <v>339</v>
      </c>
      <c r="B27" s="105">
        <v>2180</v>
      </c>
      <c r="D27" s="105">
        <v>2180</v>
      </c>
      <c r="E27" s="105">
        <v>296.04000000000002</v>
      </c>
      <c r="F27" s="105">
        <v>1337.04</v>
      </c>
      <c r="G27" s="105">
        <v>1337.04</v>
      </c>
      <c r="H27" s="105">
        <v>842.96</v>
      </c>
      <c r="I27">
        <v>39</v>
      </c>
      <c r="L27" s="128"/>
      <c r="M27" s="2"/>
      <c r="N27" s="2"/>
      <c r="O27" s="2"/>
      <c r="Q27" s="2"/>
      <c r="R27" s="2"/>
      <c r="S27" s="2"/>
    </row>
    <row r="28" spans="1:19">
      <c r="A28" s="128" t="s">
        <v>340</v>
      </c>
      <c r="B28" s="105">
        <v>48394</v>
      </c>
      <c r="D28" s="105">
        <v>48394</v>
      </c>
      <c r="E28" s="105">
        <v>107.65</v>
      </c>
      <c r="F28" s="105">
        <v>47276.639999999999</v>
      </c>
      <c r="G28" s="105">
        <v>47276.639999999999</v>
      </c>
      <c r="H28" s="105">
        <v>1117.3599999999999</v>
      </c>
      <c r="I28">
        <v>2</v>
      </c>
      <c r="L28" s="128"/>
      <c r="M28" s="2"/>
      <c r="N28" s="2"/>
      <c r="O28" s="2"/>
      <c r="Q28" s="2"/>
      <c r="R28" s="2"/>
      <c r="S28" s="2"/>
    </row>
    <row r="29" spans="1:19">
      <c r="A29" s="128" t="s">
        <v>341</v>
      </c>
      <c r="B29" s="105">
        <v>4000</v>
      </c>
      <c r="D29" s="105">
        <v>4000</v>
      </c>
      <c r="E29" s="105">
        <v>630.79</v>
      </c>
      <c r="F29" s="105">
        <v>1938.79</v>
      </c>
      <c r="G29" s="105">
        <v>1938.79</v>
      </c>
      <c r="H29" s="105">
        <v>2061.21</v>
      </c>
      <c r="I29">
        <v>52</v>
      </c>
      <c r="L29" s="128"/>
      <c r="M29" s="2"/>
      <c r="N29" s="2"/>
      <c r="O29" s="2"/>
      <c r="Q29" s="2"/>
      <c r="R29" s="2"/>
      <c r="S29" s="2"/>
    </row>
    <row r="30" spans="1:19">
      <c r="A30" s="136" t="s">
        <v>342</v>
      </c>
    </row>
    <row r="31" spans="1:19">
      <c r="A31" s="128" t="s">
        <v>343</v>
      </c>
      <c r="B31" s="2">
        <v>25000</v>
      </c>
      <c r="D31" s="2">
        <v>25000</v>
      </c>
      <c r="E31">
        <v>116.28</v>
      </c>
      <c r="F31" s="2">
        <v>5725.95</v>
      </c>
      <c r="G31" s="2">
        <v>5725.95</v>
      </c>
      <c r="H31" s="2">
        <v>19274.05</v>
      </c>
      <c r="I31">
        <v>77</v>
      </c>
      <c r="L31" s="128"/>
      <c r="M31" s="2"/>
      <c r="N31" s="2"/>
      <c r="O31" s="2"/>
      <c r="Q31" s="2"/>
      <c r="R31" s="2"/>
      <c r="S31" s="2"/>
    </row>
    <row r="32" spans="1:19">
      <c r="A32" s="128" t="s">
        <v>344</v>
      </c>
      <c r="B32" s="2">
        <v>5244.5</v>
      </c>
      <c r="D32" s="2">
        <v>5244.5</v>
      </c>
      <c r="E32">
        <v>0</v>
      </c>
      <c r="F32">
        <v>4562.0600000000004</v>
      </c>
      <c r="G32">
        <v>4562.0600000000004</v>
      </c>
      <c r="H32" s="2">
        <v>682.44</v>
      </c>
      <c r="I32">
        <v>13</v>
      </c>
      <c r="L32" s="128"/>
      <c r="M32" s="2"/>
      <c r="N32" s="2"/>
      <c r="O32" s="2"/>
      <c r="Q32" s="2"/>
      <c r="R32" s="2"/>
    </row>
    <row r="33" spans="1:19">
      <c r="A33" s="128" t="s">
        <v>345</v>
      </c>
      <c r="B33" s="2">
        <v>2625</v>
      </c>
      <c r="D33" s="2">
        <v>3125</v>
      </c>
      <c r="E33">
        <v>583.58000000000004</v>
      </c>
      <c r="F33" s="2">
        <v>2802.41</v>
      </c>
      <c r="G33" s="2">
        <v>2802.41</v>
      </c>
      <c r="H33">
        <v>322.58999999999997</v>
      </c>
      <c r="I33">
        <v>10</v>
      </c>
      <c r="L33" s="128"/>
      <c r="M33" s="2"/>
      <c r="N33" s="2"/>
      <c r="O33" s="2"/>
      <c r="P33" s="2"/>
      <c r="Q33" s="2"/>
      <c r="R33" s="2"/>
      <c r="S33" s="2"/>
    </row>
    <row r="34" spans="1:19">
      <c r="A34" s="128" t="s">
        <v>346</v>
      </c>
      <c r="B34" s="2">
        <v>3000</v>
      </c>
      <c r="D34" s="2">
        <v>3000</v>
      </c>
      <c r="E34">
        <v>0</v>
      </c>
      <c r="F34">
        <v>1083.04</v>
      </c>
      <c r="G34" s="2">
        <v>2478.4699999999998</v>
      </c>
      <c r="H34">
        <v>521.53</v>
      </c>
      <c r="I34">
        <v>17</v>
      </c>
      <c r="L34" s="128"/>
      <c r="M34" s="2"/>
      <c r="N34" s="2"/>
      <c r="O34" s="2"/>
      <c r="P34" s="2"/>
      <c r="Q34" s="2"/>
      <c r="R34" s="2"/>
    </row>
    <row r="35" spans="1:19">
      <c r="A35" s="128" t="s">
        <v>347</v>
      </c>
      <c r="B35" s="2">
        <v>850000</v>
      </c>
      <c r="D35" s="2">
        <v>850000</v>
      </c>
      <c r="E35" s="2">
        <v>69258.69</v>
      </c>
      <c r="F35" s="2">
        <v>304703.82</v>
      </c>
      <c r="G35" s="2">
        <v>304703.82</v>
      </c>
      <c r="H35" s="2">
        <v>545296.18000000005</v>
      </c>
      <c r="I35">
        <v>64</v>
      </c>
      <c r="L35" s="128"/>
      <c r="M35" s="2"/>
      <c r="N35" s="2"/>
      <c r="O35" s="2"/>
      <c r="P35" s="2"/>
      <c r="Q35" s="2"/>
      <c r="R35" s="2"/>
      <c r="S35" s="2"/>
    </row>
    <row r="36" spans="1:19">
      <c r="A36" s="128" t="s">
        <v>348</v>
      </c>
      <c r="B36" s="2">
        <v>5850</v>
      </c>
      <c r="D36" s="2">
        <v>5850</v>
      </c>
      <c r="E36" s="2">
        <v>1850</v>
      </c>
      <c r="F36" s="2">
        <v>3700</v>
      </c>
      <c r="G36" s="2">
        <v>5850</v>
      </c>
      <c r="H36">
        <v>0</v>
      </c>
      <c r="I36">
        <v>0</v>
      </c>
      <c r="L36" s="128"/>
      <c r="M36" s="2"/>
      <c r="N36" s="2"/>
      <c r="O36" s="2"/>
      <c r="P36" s="2"/>
      <c r="Q36" s="2"/>
      <c r="R36" s="2"/>
      <c r="S36" s="2"/>
    </row>
    <row r="37" spans="1:19">
      <c r="A37" s="128" t="s">
        <v>349</v>
      </c>
      <c r="B37" s="2">
        <v>75422.7</v>
      </c>
      <c r="D37" s="2">
        <v>90422.7</v>
      </c>
      <c r="E37" s="2">
        <v>27306.62</v>
      </c>
      <c r="F37" s="2">
        <v>70550.080000000002</v>
      </c>
      <c r="G37" s="2">
        <v>86273.78</v>
      </c>
      <c r="H37" s="2">
        <v>4148.92</v>
      </c>
      <c r="I37">
        <v>5</v>
      </c>
      <c r="L37" s="128"/>
      <c r="M37" s="2"/>
      <c r="N37" s="2"/>
      <c r="O37" s="2"/>
      <c r="P37" s="2"/>
      <c r="Q37" s="2"/>
      <c r="R37" s="2"/>
      <c r="S37" s="2"/>
    </row>
    <row r="38" spans="1:19">
      <c r="A38" s="128" t="s">
        <v>350</v>
      </c>
      <c r="B38" s="2">
        <v>1500</v>
      </c>
      <c r="D38" s="2">
        <v>1500</v>
      </c>
      <c r="E38">
        <v>282.32</v>
      </c>
      <c r="F38">
        <v>561.94000000000005</v>
      </c>
      <c r="G38">
        <v>561.94000000000005</v>
      </c>
      <c r="H38" s="2">
        <v>938.06</v>
      </c>
      <c r="I38">
        <v>63</v>
      </c>
      <c r="L38" s="128"/>
      <c r="M38" s="2"/>
      <c r="N38" s="2"/>
      <c r="O38" s="2"/>
      <c r="P38" s="2"/>
      <c r="Q38" s="2"/>
      <c r="R38" s="2"/>
      <c r="S38" s="2"/>
    </row>
    <row r="39" spans="1:19">
      <c r="A39" s="128" t="s">
        <v>351</v>
      </c>
      <c r="B39" s="2">
        <v>600000</v>
      </c>
      <c r="D39" s="2">
        <v>600000</v>
      </c>
      <c r="E39" s="2">
        <v>42740</v>
      </c>
      <c r="F39" s="2">
        <v>240359.07</v>
      </c>
      <c r="G39" s="2">
        <v>468595</v>
      </c>
      <c r="H39" s="2">
        <v>131405</v>
      </c>
      <c r="I39">
        <v>22</v>
      </c>
      <c r="L39" s="128"/>
      <c r="M39" s="2"/>
      <c r="N39" s="2"/>
      <c r="O39" s="2"/>
      <c r="P39" s="2"/>
      <c r="Q39" s="2"/>
      <c r="R39" s="2"/>
      <c r="S39" s="2"/>
    </row>
    <row r="40" spans="1:19">
      <c r="A40" s="128" t="s">
        <v>352</v>
      </c>
      <c r="B40" s="2">
        <v>500000</v>
      </c>
      <c r="D40" s="2">
        <v>500000</v>
      </c>
      <c r="E40" s="2">
        <v>26355.97</v>
      </c>
      <c r="F40" s="2">
        <v>86313.97</v>
      </c>
      <c r="G40" s="2">
        <v>462546.12</v>
      </c>
      <c r="H40" s="2">
        <v>37453.879999999997</v>
      </c>
      <c r="I40">
        <v>7</v>
      </c>
      <c r="L40" s="128"/>
      <c r="M40" s="2"/>
      <c r="N40" s="2"/>
      <c r="O40" s="2"/>
      <c r="P40" s="2"/>
      <c r="Q40" s="2"/>
      <c r="R40" s="2"/>
      <c r="S40" s="2"/>
    </row>
    <row r="41" spans="1:19">
      <c r="A41" s="128" t="s">
        <v>353</v>
      </c>
      <c r="B41" s="2">
        <v>50000</v>
      </c>
      <c r="D41" s="2">
        <v>50000</v>
      </c>
      <c r="E41">
        <v>0</v>
      </c>
      <c r="F41">
        <v>0</v>
      </c>
      <c r="G41">
        <v>0</v>
      </c>
      <c r="H41" s="2">
        <v>50000</v>
      </c>
      <c r="I41">
        <v>100</v>
      </c>
      <c r="L41" s="128"/>
      <c r="M41" s="2"/>
      <c r="N41" s="2"/>
      <c r="O41" s="2"/>
      <c r="P41" s="2"/>
      <c r="Q41" s="2"/>
      <c r="R41" s="2"/>
      <c r="S41" s="2"/>
    </row>
    <row r="42" spans="1:19">
      <c r="A42" s="128" t="s">
        <v>354</v>
      </c>
      <c r="B42" s="2">
        <v>4830000</v>
      </c>
      <c r="D42" s="2">
        <v>4830000</v>
      </c>
      <c r="E42" s="2">
        <v>621983.37</v>
      </c>
      <c r="F42" s="2">
        <v>1669159.74</v>
      </c>
      <c r="G42" s="2">
        <v>2050663.78</v>
      </c>
      <c r="H42" s="2">
        <v>2779336.22</v>
      </c>
      <c r="I42">
        <v>58</v>
      </c>
      <c r="L42" s="128"/>
      <c r="M42" s="2"/>
      <c r="N42" s="2"/>
      <c r="O42" s="2"/>
      <c r="P42" s="2"/>
      <c r="Q42" s="2"/>
      <c r="R42" s="2"/>
      <c r="S42" s="2"/>
    </row>
    <row r="43" spans="1:19">
      <c r="A43" s="128" t="s">
        <v>355</v>
      </c>
      <c r="B43" s="2">
        <v>250000</v>
      </c>
      <c r="D43" s="2">
        <v>250000</v>
      </c>
      <c r="E43" s="2">
        <v>16553.75</v>
      </c>
      <c r="F43" s="2">
        <v>71388.160000000003</v>
      </c>
      <c r="G43" s="2">
        <v>78438.460000000006</v>
      </c>
      <c r="H43" s="2">
        <v>171561.54</v>
      </c>
      <c r="I43">
        <v>69</v>
      </c>
      <c r="L43" s="128"/>
      <c r="M43" s="2"/>
      <c r="N43" s="2"/>
      <c r="O43" s="2"/>
      <c r="P43" s="2"/>
      <c r="Q43" s="2"/>
      <c r="R43" s="2"/>
      <c r="S43" s="2"/>
    </row>
    <row r="44" spans="1:19">
      <c r="A44" s="128" t="s">
        <v>356</v>
      </c>
      <c r="B44" s="2">
        <v>5000</v>
      </c>
      <c r="D44" s="2">
        <v>5000</v>
      </c>
      <c r="E44">
        <v>0</v>
      </c>
      <c r="F44">
        <v>0</v>
      </c>
      <c r="G44">
        <v>0</v>
      </c>
      <c r="H44" s="2">
        <v>5000</v>
      </c>
      <c r="I44">
        <v>100</v>
      </c>
      <c r="L44" s="128"/>
      <c r="M44" s="2"/>
      <c r="N44" s="2"/>
      <c r="O44" s="2"/>
      <c r="S44" s="2"/>
    </row>
    <row r="45" spans="1:19">
      <c r="A45" s="128" t="s">
        <v>357</v>
      </c>
      <c r="B45" s="2">
        <v>238000</v>
      </c>
      <c r="D45" s="2">
        <v>238000</v>
      </c>
      <c r="E45">
        <v>15937.75</v>
      </c>
      <c r="F45" s="2">
        <v>76872.47</v>
      </c>
      <c r="G45" s="2">
        <v>89397.87</v>
      </c>
      <c r="H45" s="2">
        <v>148602.13</v>
      </c>
      <c r="I45">
        <v>62</v>
      </c>
      <c r="L45" s="128"/>
      <c r="M45" s="2"/>
      <c r="N45" s="2"/>
      <c r="O45" s="2"/>
      <c r="P45" s="2"/>
      <c r="Q45" s="2"/>
      <c r="R45" s="2"/>
      <c r="S45" s="2"/>
    </row>
    <row r="46" spans="1:19">
      <c r="A46" s="128" t="s">
        <v>358</v>
      </c>
      <c r="B46" s="2">
        <v>400000</v>
      </c>
      <c r="D46" s="2">
        <v>400000</v>
      </c>
      <c r="E46">
        <v>0</v>
      </c>
      <c r="F46">
        <v>0</v>
      </c>
      <c r="G46">
        <v>75456</v>
      </c>
      <c r="H46" s="2">
        <v>324544</v>
      </c>
      <c r="I46">
        <v>81</v>
      </c>
      <c r="L46" s="128"/>
      <c r="M46" s="2"/>
      <c r="N46" s="2"/>
      <c r="O46" s="2"/>
      <c r="Q46" s="2"/>
      <c r="R46" s="2"/>
      <c r="S46" s="2"/>
    </row>
    <row r="47" spans="1:19">
      <c r="A47" s="128" t="s">
        <v>359</v>
      </c>
      <c r="B47" s="2">
        <v>1000</v>
      </c>
      <c r="D47" s="2">
        <v>1000</v>
      </c>
      <c r="E47">
        <v>0</v>
      </c>
      <c r="F47">
        <v>0</v>
      </c>
      <c r="G47">
        <v>0</v>
      </c>
      <c r="H47" s="2">
        <v>1000</v>
      </c>
      <c r="I47">
        <v>100</v>
      </c>
      <c r="L47" s="128"/>
      <c r="M47" s="2"/>
      <c r="N47" s="2"/>
      <c r="O47" s="2"/>
      <c r="P47" s="2"/>
      <c r="Q47" s="2"/>
      <c r="R47" s="2"/>
      <c r="S47" s="2"/>
    </row>
    <row r="48" spans="1:19">
      <c r="A48" s="128" t="s">
        <v>360</v>
      </c>
      <c r="B48" s="2">
        <v>1806000</v>
      </c>
      <c r="D48" s="2">
        <v>1806000</v>
      </c>
      <c r="E48">
        <v>163578.63</v>
      </c>
      <c r="F48" s="2">
        <v>758563.99</v>
      </c>
      <c r="G48" s="2">
        <v>1440640.37</v>
      </c>
      <c r="H48" s="2">
        <v>365359.63</v>
      </c>
      <c r="I48">
        <v>20</v>
      </c>
      <c r="L48" s="128"/>
      <c r="M48" s="2"/>
      <c r="N48" s="2"/>
      <c r="O48" s="2"/>
      <c r="P48" s="2"/>
      <c r="Q48" s="2"/>
      <c r="R48" s="2"/>
      <c r="S48" s="2"/>
    </row>
    <row r="49" spans="1:19">
      <c r="A49" s="128" t="s">
        <v>361</v>
      </c>
      <c r="B49" s="2">
        <v>15000</v>
      </c>
      <c r="D49" s="2">
        <v>15000</v>
      </c>
      <c r="E49" s="2">
        <v>1388.89</v>
      </c>
      <c r="F49" s="2">
        <v>13932.35</v>
      </c>
      <c r="G49" s="2">
        <v>13932.35</v>
      </c>
      <c r="H49" s="2">
        <v>1067.6500000000001</v>
      </c>
      <c r="I49">
        <v>7</v>
      </c>
      <c r="L49" s="128"/>
      <c r="M49" s="2"/>
      <c r="N49" s="2"/>
      <c r="O49" s="2"/>
      <c r="P49" s="2"/>
      <c r="Q49" s="2"/>
      <c r="R49" s="2"/>
      <c r="S49" s="2"/>
    </row>
    <row r="50" spans="1:19">
      <c r="A50" s="128" t="s">
        <v>362</v>
      </c>
      <c r="B50" s="2">
        <v>2252500</v>
      </c>
      <c r="D50" s="2">
        <v>2252500</v>
      </c>
      <c r="E50" s="2">
        <v>101110.49</v>
      </c>
      <c r="F50" s="2">
        <v>755738.5</v>
      </c>
      <c r="G50" s="2">
        <v>1951376.78</v>
      </c>
      <c r="H50" s="2">
        <v>301123.21999999997</v>
      </c>
      <c r="I50">
        <v>13</v>
      </c>
      <c r="L50" s="128"/>
      <c r="M50" s="2"/>
      <c r="N50" s="2"/>
      <c r="O50" s="2"/>
      <c r="P50" s="2"/>
      <c r="Q50" s="2"/>
      <c r="R50" s="2"/>
      <c r="S50" s="2"/>
    </row>
    <row r="51" spans="1:19">
      <c r="A51" s="128" t="s">
        <v>363</v>
      </c>
      <c r="B51" s="2">
        <v>1000</v>
      </c>
      <c r="D51" s="2">
        <v>1000</v>
      </c>
      <c r="E51">
        <v>0</v>
      </c>
      <c r="F51">
        <v>0</v>
      </c>
      <c r="G51">
        <v>0</v>
      </c>
      <c r="H51" s="2">
        <v>1000</v>
      </c>
      <c r="I51">
        <v>100</v>
      </c>
      <c r="L51" s="128"/>
      <c r="M51" s="2"/>
      <c r="N51" s="2"/>
      <c r="O51" s="2"/>
      <c r="S51" s="2"/>
    </row>
    <row r="52" spans="1:19">
      <c r="A52" s="128" t="s">
        <v>364</v>
      </c>
      <c r="B52" s="2">
        <v>8625200</v>
      </c>
      <c r="D52" s="2">
        <v>8150200</v>
      </c>
      <c r="E52" s="2">
        <v>443830.24</v>
      </c>
      <c r="F52" s="2">
        <v>761777.55</v>
      </c>
      <c r="G52" s="2">
        <v>3311426.61</v>
      </c>
      <c r="H52" s="2">
        <v>4838773.3899999997</v>
      </c>
      <c r="I52">
        <v>59</v>
      </c>
      <c r="L52" s="128"/>
      <c r="M52" s="2"/>
      <c r="N52" s="2"/>
      <c r="O52" s="2"/>
      <c r="P52" s="2"/>
      <c r="Q52" s="2"/>
      <c r="R52" s="2"/>
      <c r="S52" s="2"/>
    </row>
    <row r="53" spans="1:19">
      <c r="A53" s="128" t="s">
        <v>365</v>
      </c>
      <c r="B53">
        <v>500</v>
      </c>
      <c r="D53">
        <v>500</v>
      </c>
      <c r="E53">
        <v>0</v>
      </c>
      <c r="F53">
        <v>0</v>
      </c>
      <c r="G53">
        <v>0</v>
      </c>
      <c r="H53">
        <v>500</v>
      </c>
      <c r="I53">
        <v>100</v>
      </c>
      <c r="L53" s="128"/>
      <c r="M53" s="2"/>
      <c r="N53" s="2"/>
      <c r="O53" s="2"/>
    </row>
    <row r="54" spans="1:19">
      <c r="A54" s="128" t="s">
        <v>366</v>
      </c>
      <c r="B54" s="2">
        <v>4476</v>
      </c>
      <c r="D54" s="2">
        <v>4476</v>
      </c>
      <c r="E54">
        <v>336.94</v>
      </c>
      <c r="F54" s="2">
        <v>2814.99</v>
      </c>
      <c r="G54" s="2">
        <v>2814.99</v>
      </c>
      <c r="H54" s="2">
        <v>1661.01</v>
      </c>
      <c r="I54">
        <v>37</v>
      </c>
      <c r="L54" s="128"/>
      <c r="M54" s="2"/>
      <c r="N54" s="2"/>
      <c r="O54" s="2"/>
      <c r="P54" s="2"/>
      <c r="Q54" s="2"/>
      <c r="R54" s="2"/>
      <c r="S54" s="2"/>
    </row>
    <row r="55" spans="1:19">
      <c r="A55" s="128" t="s">
        <v>367</v>
      </c>
      <c r="B55" s="2">
        <v>1031.5</v>
      </c>
      <c r="D55" s="2">
        <v>1031.5</v>
      </c>
      <c r="E55">
        <v>0</v>
      </c>
      <c r="F55">
        <v>925</v>
      </c>
      <c r="G55">
        <v>925</v>
      </c>
      <c r="H55">
        <v>106.5</v>
      </c>
      <c r="I55">
        <v>10</v>
      </c>
      <c r="L55" s="128"/>
      <c r="M55" s="2"/>
      <c r="N55" s="2"/>
      <c r="O55" s="2"/>
      <c r="R55" s="2"/>
      <c r="S55" s="2"/>
    </row>
    <row r="56" spans="1:19">
      <c r="A56" s="128" t="s">
        <v>368</v>
      </c>
      <c r="B56" s="2">
        <v>4333905.38</v>
      </c>
      <c r="D56" s="2">
        <v>3803905.38</v>
      </c>
      <c r="E56" s="2">
        <v>338944.85</v>
      </c>
      <c r="F56" s="2">
        <v>1022538.75</v>
      </c>
      <c r="G56" s="2">
        <v>1904602.1</v>
      </c>
      <c r="H56" s="2">
        <v>1899303.28</v>
      </c>
      <c r="I56">
        <v>50</v>
      </c>
      <c r="L56" s="128"/>
      <c r="M56" s="2"/>
      <c r="N56" s="2"/>
      <c r="O56" s="2"/>
      <c r="P56" s="2"/>
      <c r="Q56" s="2"/>
      <c r="R56" s="2"/>
      <c r="S56" s="2"/>
    </row>
    <row r="57" spans="1:19">
      <c r="A57" s="128" t="s">
        <v>369</v>
      </c>
      <c r="B57" s="2">
        <v>150000</v>
      </c>
      <c r="D57" s="2">
        <v>150000</v>
      </c>
      <c r="E57">
        <v>0</v>
      </c>
      <c r="F57">
        <v>4186.08</v>
      </c>
      <c r="G57" s="2">
        <v>101987.6</v>
      </c>
      <c r="H57" s="2">
        <v>48012.4</v>
      </c>
      <c r="I57">
        <v>32</v>
      </c>
      <c r="L57" s="128"/>
      <c r="M57" s="2"/>
      <c r="N57" s="2"/>
      <c r="O57" s="2"/>
      <c r="P57" s="2"/>
      <c r="Q57" s="2"/>
      <c r="R57" s="2"/>
      <c r="S57" s="2"/>
    </row>
    <row r="58" spans="1:19">
      <c r="A58" s="128" t="s">
        <v>370</v>
      </c>
      <c r="B58" s="2">
        <v>200000</v>
      </c>
      <c r="D58" s="2">
        <v>200000</v>
      </c>
      <c r="E58" s="2">
        <v>1090</v>
      </c>
      <c r="F58" s="2">
        <v>39644.949999999997</v>
      </c>
      <c r="G58" s="2">
        <v>165113.69</v>
      </c>
      <c r="H58" s="2">
        <v>34886.31</v>
      </c>
      <c r="I58">
        <v>17</v>
      </c>
      <c r="L58" s="128"/>
      <c r="M58" s="2"/>
      <c r="N58" s="2"/>
      <c r="O58" s="2"/>
      <c r="P58" s="2"/>
      <c r="Q58" s="2"/>
      <c r="R58" s="2"/>
      <c r="S58" s="2"/>
    </row>
    <row r="59" spans="1:19">
      <c r="A59" s="128" t="s">
        <v>371</v>
      </c>
      <c r="B59" s="2">
        <v>34000</v>
      </c>
      <c r="D59" s="2">
        <v>34000</v>
      </c>
      <c r="E59" s="2">
        <v>1948.33</v>
      </c>
      <c r="F59" s="2">
        <v>9741.65</v>
      </c>
      <c r="G59" s="2">
        <v>24000</v>
      </c>
      <c r="H59" s="2">
        <v>10000</v>
      </c>
      <c r="I59">
        <v>29</v>
      </c>
      <c r="L59" s="128"/>
      <c r="M59" s="2"/>
      <c r="N59" s="2"/>
      <c r="O59" s="2"/>
      <c r="P59" s="2"/>
      <c r="Q59" s="2"/>
      <c r="R59" s="2"/>
      <c r="S59" s="2"/>
    </row>
    <row r="60" spans="1:19">
      <c r="A60" s="128" t="s">
        <v>455</v>
      </c>
      <c r="B60" s="2">
        <v>30780</v>
      </c>
      <c r="D60" s="2">
        <v>30780</v>
      </c>
      <c r="E60">
        <v>3657.39</v>
      </c>
      <c r="F60">
        <v>8140.16</v>
      </c>
      <c r="G60">
        <v>8140.16</v>
      </c>
      <c r="H60" s="2">
        <v>22639.84</v>
      </c>
      <c r="I60">
        <v>74</v>
      </c>
      <c r="L60" s="128"/>
      <c r="M60" s="2"/>
      <c r="N60" s="2"/>
      <c r="O60" s="2"/>
      <c r="P60" s="2"/>
      <c r="Q60" s="2"/>
      <c r="R60" s="2"/>
      <c r="S60" s="2"/>
    </row>
    <row r="61" spans="1:19">
      <c r="A61" s="128" t="s">
        <v>372</v>
      </c>
      <c r="B61" s="2">
        <v>1861.51</v>
      </c>
      <c r="D61" s="2">
        <v>6861.51</v>
      </c>
      <c r="E61">
        <v>1557.59</v>
      </c>
      <c r="F61" s="2">
        <v>6230.36</v>
      </c>
      <c r="G61" s="2">
        <v>6230.36</v>
      </c>
      <c r="H61">
        <v>631.15</v>
      </c>
      <c r="I61">
        <v>9</v>
      </c>
      <c r="L61" s="128"/>
      <c r="M61" s="2"/>
      <c r="N61" s="2"/>
      <c r="O61" s="2"/>
      <c r="P61" s="2"/>
      <c r="Q61" s="2"/>
      <c r="R61" s="2"/>
      <c r="S61" s="2"/>
    </row>
    <row r="62" spans="1:19">
      <c r="A62" s="128" t="s">
        <v>373</v>
      </c>
      <c r="B62">
        <v>560</v>
      </c>
      <c r="D62">
        <v>560</v>
      </c>
      <c r="E62">
        <v>36.96</v>
      </c>
      <c r="F62">
        <v>112.17</v>
      </c>
      <c r="G62">
        <v>112.17</v>
      </c>
      <c r="H62">
        <v>447.83</v>
      </c>
      <c r="I62">
        <v>80</v>
      </c>
      <c r="L62" s="128"/>
      <c r="M62" s="2"/>
      <c r="N62" s="2"/>
      <c r="O62" s="2"/>
      <c r="P62" s="2"/>
      <c r="Q62" s="2"/>
      <c r="R62" s="2"/>
      <c r="S62" s="2"/>
    </row>
    <row r="63" spans="1:19">
      <c r="A63" s="128" t="s">
        <v>374</v>
      </c>
      <c r="B63" s="2">
        <v>20000</v>
      </c>
      <c r="D63" s="2">
        <v>20000</v>
      </c>
      <c r="E63">
        <v>654.08000000000004</v>
      </c>
      <c r="F63">
        <v>1172.57</v>
      </c>
      <c r="G63">
        <v>1172.57</v>
      </c>
      <c r="H63" s="2">
        <v>18827.43</v>
      </c>
      <c r="I63">
        <v>94</v>
      </c>
      <c r="L63" s="128"/>
      <c r="M63" s="2"/>
      <c r="N63" s="2"/>
      <c r="O63" s="2"/>
      <c r="Q63" s="2"/>
      <c r="R63" s="2"/>
      <c r="S63" s="2"/>
    </row>
    <row r="64" spans="1:19">
      <c r="A64" s="128" t="s">
        <v>375</v>
      </c>
      <c r="B64" s="2">
        <v>165285</v>
      </c>
      <c r="D64" s="2">
        <v>165285</v>
      </c>
      <c r="E64" s="2">
        <v>16319.27</v>
      </c>
      <c r="F64" s="2">
        <v>80970.39</v>
      </c>
      <c r="G64" s="2">
        <v>112795.39</v>
      </c>
      <c r="H64" s="2">
        <v>52489.61</v>
      </c>
      <c r="I64">
        <v>32</v>
      </c>
      <c r="L64" s="128"/>
      <c r="M64" s="2"/>
      <c r="N64" s="2"/>
      <c r="O64" s="2"/>
      <c r="P64" s="2"/>
      <c r="Q64" s="2"/>
      <c r="R64" s="2"/>
      <c r="S64" s="2"/>
    </row>
    <row r="65" spans="1:19">
      <c r="A65" s="128" t="s">
        <v>376</v>
      </c>
      <c r="B65">
        <v>200</v>
      </c>
      <c r="D65">
        <v>200</v>
      </c>
      <c r="E65">
        <v>0</v>
      </c>
      <c r="F65">
        <v>0</v>
      </c>
      <c r="G65">
        <v>0</v>
      </c>
      <c r="H65">
        <v>200</v>
      </c>
      <c r="I65">
        <v>100</v>
      </c>
      <c r="L65" s="128"/>
      <c r="M65" s="2"/>
      <c r="N65" s="2"/>
      <c r="O65" s="2"/>
      <c r="Q65" s="2"/>
      <c r="R65" s="2"/>
    </row>
    <row r="66" spans="1:19">
      <c r="A66" s="128" t="s">
        <v>377</v>
      </c>
      <c r="B66" s="2">
        <v>1000</v>
      </c>
      <c r="D66" s="2">
        <v>1000</v>
      </c>
      <c r="E66">
        <v>0</v>
      </c>
      <c r="F66">
        <v>0</v>
      </c>
      <c r="G66">
        <v>0</v>
      </c>
      <c r="H66" s="2">
        <v>1000</v>
      </c>
      <c r="I66">
        <v>100</v>
      </c>
      <c r="L66" s="128"/>
      <c r="M66" s="2"/>
      <c r="N66" s="2"/>
      <c r="O66" s="2"/>
      <c r="Q66" s="2"/>
      <c r="R66" s="2"/>
      <c r="S66" s="2"/>
    </row>
    <row r="67" spans="1:19">
      <c r="A67" s="128" t="s">
        <v>378</v>
      </c>
      <c r="B67" s="2">
        <v>3500</v>
      </c>
      <c r="D67" s="2">
        <v>6000</v>
      </c>
      <c r="E67">
        <v>482</v>
      </c>
      <c r="F67" s="2">
        <v>4333.28</v>
      </c>
      <c r="G67" s="2">
        <v>5197.28</v>
      </c>
      <c r="H67">
        <v>802.72</v>
      </c>
      <c r="I67">
        <v>13</v>
      </c>
      <c r="L67" s="128"/>
      <c r="M67" s="2"/>
      <c r="N67" s="2"/>
      <c r="O67" s="2"/>
      <c r="Q67" s="2"/>
      <c r="R67" s="2"/>
    </row>
    <row r="68" spans="1:19">
      <c r="A68" s="128" t="s">
        <v>379</v>
      </c>
      <c r="B68" s="2">
        <v>178505</v>
      </c>
      <c r="D68" s="2">
        <v>178505</v>
      </c>
      <c r="E68">
        <v>0</v>
      </c>
      <c r="F68" s="2">
        <v>80410.3</v>
      </c>
      <c r="G68" s="2">
        <v>80410.3</v>
      </c>
      <c r="H68" s="2">
        <v>98094.7</v>
      </c>
      <c r="I68">
        <v>55</v>
      </c>
      <c r="L68" s="128"/>
      <c r="M68" s="2"/>
      <c r="N68" s="2"/>
      <c r="O68" s="2"/>
      <c r="Q68" s="2"/>
      <c r="R68" s="2"/>
      <c r="S68" s="2"/>
    </row>
    <row r="69" spans="1:19">
      <c r="A69" s="128" t="s">
        <v>380</v>
      </c>
      <c r="B69" s="2">
        <v>64000</v>
      </c>
      <c r="D69" s="2">
        <v>74100</v>
      </c>
      <c r="E69">
        <v>0</v>
      </c>
      <c r="F69" s="2">
        <v>74090.320000000007</v>
      </c>
      <c r="G69" s="2">
        <v>74090.320000000007</v>
      </c>
      <c r="H69">
        <v>9.68</v>
      </c>
      <c r="I69">
        <v>0</v>
      </c>
      <c r="L69" s="128"/>
      <c r="M69" s="2"/>
      <c r="N69" s="2"/>
      <c r="O69" s="2"/>
      <c r="Q69" s="2"/>
      <c r="R69" s="2"/>
      <c r="S69" s="2"/>
    </row>
    <row r="70" spans="1:19">
      <c r="A70" s="128" t="s">
        <v>381</v>
      </c>
      <c r="B70" s="2">
        <v>37000</v>
      </c>
      <c r="D70" s="2">
        <v>37000</v>
      </c>
      <c r="E70">
        <v>5089.63</v>
      </c>
      <c r="F70" s="2">
        <v>10066.549999999999</v>
      </c>
      <c r="G70" s="2">
        <v>10066.549999999999</v>
      </c>
      <c r="H70" s="2">
        <v>26933.45</v>
      </c>
      <c r="I70">
        <v>73</v>
      </c>
      <c r="L70" s="128"/>
      <c r="M70" s="2"/>
      <c r="N70" s="2"/>
      <c r="O70" s="2"/>
      <c r="P70" s="2"/>
      <c r="Q70" s="2"/>
      <c r="R70" s="2"/>
      <c r="S70" s="2"/>
    </row>
    <row r="71" spans="1:19">
      <c r="A71" s="128" t="s">
        <v>382</v>
      </c>
      <c r="B71" s="2">
        <v>30000</v>
      </c>
      <c r="D71" s="2">
        <v>30000</v>
      </c>
      <c r="E71">
        <v>0</v>
      </c>
      <c r="F71">
        <v>0</v>
      </c>
      <c r="G71">
        <v>0</v>
      </c>
      <c r="H71" s="2">
        <v>30000</v>
      </c>
      <c r="I71">
        <v>100</v>
      </c>
      <c r="L71" s="128"/>
      <c r="M71" s="2"/>
      <c r="N71" s="2"/>
      <c r="O71" s="2"/>
      <c r="R71" s="2"/>
      <c r="S71" s="2"/>
    </row>
    <row r="72" spans="1:19">
      <c r="A72" s="128" t="s">
        <v>383</v>
      </c>
      <c r="B72" s="2">
        <v>24950</v>
      </c>
      <c r="D72" s="2">
        <v>24908.53</v>
      </c>
      <c r="E72">
        <v>0</v>
      </c>
      <c r="F72" s="2">
        <v>24824.09</v>
      </c>
      <c r="G72" s="2">
        <v>24824.09</v>
      </c>
      <c r="H72">
        <v>84.44</v>
      </c>
      <c r="I72">
        <v>0</v>
      </c>
      <c r="L72" s="128"/>
      <c r="M72" s="2"/>
      <c r="N72" s="2"/>
      <c r="O72" s="2"/>
      <c r="Q72" s="2"/>
      <c r="R72" s="2"/>
      <c r="S72" s="2"/>
    </row>
    <row r="73" spans="1:19">
      <c r="A73" s="128" t="s">
        <v>384</v>
      </c>
      <c r="B73" s="2">
        <v>134500</v>
      </c>
      <c r="D73" s="2">
        <v>147500</v>
      </c>
      <c r="E73">
        <v>75797.62</v>
      </c>
      <c r="F73">
        <v>75797.62</v>
      </c>
      <c r="G73" s="2">
        <v>98955.64</v>
      </c>
      <c r="H73" s="2">
        <v>48544.36</v>
      </c>
      <c r="I73">
        <v>33</v>
      </c>
      <c r="L73" s="128"/>
      <c r="M73" s="2"/>
      <c r="N73" s="2"/>
      <c r="O73" s="2"/>
      <c r="P73" s="2"/>
      <c r="Q73" s="2"/>
      <c r="R73" s="2"/>
      <c r="S73" s="2"/>
    </row>
    <row r="74" spans="1:19">
      <c r="A74" s="128" t="s">
        <v>385</v>
      </c>
      <c r="B74" s="2">
        <v>2000</v>
      </c>
      <c r="D74" s="2">
        <v>2500</v>
      </c>
      <c r="E74">
        <v>0</v>
      </c>
      <c r="F74">
        <v>0</v>
      </c>
      <c r="G74">
        <v>0</v>
      </c>
      <c r="H74" s="2">
        <v>2500</v>
      </c>
      <c r="I74">
        <v>100</v>
      </c>
      <c r="L74" s="128"/>
      <c r="M74" s="2"/>
      <c r="N74" s="2"/>
      <c r="O74" s="2"/>
      <c r="P74" s="2"/>
      <c r="Q74" s="2"/>
      <c r="R74" s="2"/>
      <c r="S74" s="2"/>
    </row>
    <row r="75" spans="1:19">
      <c r="A75" s="128" t="s">
        <v>386</v>
      </c>
      <c r="B75" s="2">
        <v>20000</v>
      </c>
      <c r="D75" s="2">
        <v>20000</v>
      </c>
      <c r="E75">
        <v>0</v>
      </c>
      <c r="F75">
        <v>0</v>
      </c>
      <c r="G75">
        <v>0</v>
      </c>
      <c r="H75" s="2">
        <v>20000</v>
      </c>
      <c r="I75">
        <v>100</v>
      </c>
      <c r="L75" s="128"/>
      <c r="M75" s="2"/>
      <c r="N75" s="2"/>
      <c r="O75" s="2"/>
      <c r="Q75" s="2"/>
      <c r="R75" s="2"/>
      <c r="S75" s="2"/>
    </row>
    <row r="76" spans="1:19">
      <c r="A76" s="128" t="s">
        <v>387</v>
      </c>
      <c r="B76" s="2">
        <v>1700000</v>
      </c>
      <c r="D76" s="2">
        <v>1700000</v>
      </c>
      <c r="E76" s="2">
        <v>174703.5</v>
      </c>
      <c r="F76" s="2">
        <v>926885.43</v>
      </c>
      <c r="G76" s="2">
        <v>934722.84</v>
      </c>
      <c r="H76" s="2">
        <v>765277.16</v>
      </c>
      <c r="I76">
        <v>45</v>
      </c>
      <c r="L76" s="128"/>
      <c r="M76" s="2"/>
      <c r="N76" s="2"/>
      <c r="O76" s="2"/>
      <c r="P76" s="2"/>
      <c r="Q76" s="2"/>
      <c r="R76" s="2"/>
      <c r="S76" s="2"/>
    </row>
    <row r="77" spans="1:19">
      <c r="A77" s="128" t="s">
        <v>388</v>
      </c>
      <c r="B77" s="2">
        <v>15000</v>
      </c>
      <c r="D77" s="2">
        <v>15000</v>
      </c>
      <c r="E77">
        <v>555.5</v>
      </c>
      <c r="F77" s="2">
        <v>8790.23</v>
      </c>
      <c r="G77" s="2">
        <v>12000</v>
      </c>
      <c r="H77" s="2">
        <v>3000</v>
      </c>
      <c r="I77">
        <v>20</v>
      </c>
      <c r="L77" s="128"/>
      <c r="M77" s="2"/>
      <c r="N77" s="2"/>
      <c r="O77" s="2"/>
      <c r="P77" s="2"/>
      <c r="Q77" s="2"/>
      <c r="R77" s="2"/>
      <c r="S77" s="2"/>
    </row>
    <row r="78" spans="1:19">
      <c r="A78" s="128" t="s">
        <v>389</v>
      </c>
      <c r="B78" s="2">
        <v>1000</v>
      </c>
      <c r="D78" s="2">
        <v>1000</v>
      </c>
      <c r="E78">
        <v>0</v>
      </c>
      <c r="F78">
        <v>0</v>
      </c>
      <c r="G78">
        <v>0</v>
      </c>
      <c r="H78" s="2">
        <v>1000</v>
      </c>
      <c r="I78">
        <v>100</v>
      </c>
      <c r="L78" s="128"/>
      <c r="M78" s="2"/>
      <c r="N78" s="2"/>
      <c r="O78" s="2"/>
      <c r="S78" s="2"/>
    </row>
    <row r="79" spans="1:19">
      <c r="A79" s="128" t="s">
        <v>390</v>
      </c>
      <c r="B79" s="2">
        <v>40000</v>
      </c>
      <c r="D79" s="2">
        <v>70000</v>
      </c>
      <c r="E79" s="2">
        <v>3840</v>
      </c>
      <c r="F79" s="2">
        <v>29714.43</v>
      </c>
      <c r="G79" s="2">
        <v>60077</v>
      </c>
      <c r="H79" s="2">
        <v>9923</v>
      </c>
      <c r="I79">
        <v>14</v>
      </c>
      <c r="L79" s="128"/>
      <c r="M79" s="2"/>
      <c r="N79" s="2"/>
      <c r="O79" s="2"/>
      <c r="P79" s="2"/>
      <c r="Q79" s="2"/>
      <c r="R79" s="2"/>
      <c r="S79" s="2"/>
    </row>
    <row r="80" spans="1:19">
      <c r="A80" s="128" t="s">
        <v>391</v>
      </c>
      <c r="B80" s="2">
        <v>121009</v>
      </c>
      <c r="D80" s="2">
        <v>121009</v>
      </c>
      <c r="E80">
        <v>0</v>
      </c>
      <c r="F80">
        <v>0</v>
      </c>
      <c r="G80">
        <v>0</v>
      </c>
      <c r="H80" s="2">
        <v>121009</v>
      </c>
      <c r="I80">
        <v>100</v>
      </c>
      <c r="L80" s="128"/>
      <c r="M80" s="2"/>
      <c r="N80" s="2"/>
      <c r="O80" s="2"/>
      <c r="Q80" s="2"/>
      <c r="R80" s="2"/>
      <c r="S80" s="2"/>
    </row>
    <row r="81" spans="1:19">
      <c r="A81" s="128" t="s">
        <v>392</v>
      </c>
      <c r="B81" s="2">
        <v>155000</v>
      </c>
      <c r="D81" s="2">
        <v>125000</v>
      </c>
      <c r="E81">
        <v>0</v>
      </c>
      <c r="F81">
        <v>0</v>
      </c>
      <c r="G81">
        <v>0</v>
      </c>
      <c r="H81" s="2">
        <v>125000</v>
      </c>
      <c r="I81">
        <v>100</v>
      </c>
      <c r="L81" s="128"/>
      <c r="M81" s="2"/>
      <c r="N81" s="2"/>
      <c r="O81" s="2"/>
      <c r="S81" s="2"/>
    </row>
    <row r="82" spans="1:19">
      <c r="A82" s="128" t="s">
        <v>393</v>
      </c>
      <c r="B82" s="2">
        <v>18203.98</v>
      </c>
      <c r="D82" s="2">
        <v>19245.45</v>
      </c>
      <c r="E82">
        <v>2283.71</v>
      </c>
      <c r="F82" s="2">
        <v>6586.32</v>
      </c>
      <c r="G82" s="2">
        <v>18911.3</v>
      </c>
      <c r="H82">
        <v>334.15</v>
      </c>
      <c r="I82">
        <v>2</v>
      </c>
      <c r="L82" s="128"/>
      <c r="M82" s="2"/>
      <c r="N82" s="2"/>
      <c r="O82" s="2"/>
      <c r="P82" s="2"/>
      <c r="Q82" s="2"/>
      <c r="R82" s="2"/>
      <c r="S82" s="2"/>
    </row>
    <row r="83" spans="1:19">
      <c r="A83" s="128" t="s">
        <v>394</v>
      </c>
      <c r="B83" s="2">
        <v>4050</v>
      </c>
      <c r="D83" s="2">
        <v>4050</v>
      </c>
      <c r="E83">
        <v>983</v>
      </c>
      <c r="F83">
        <v>2704</v>
      </c>
      <c r="G83">
        <v>2704</v>
      </c>
      <c r="H83" s="2">
        <v>1346</v>
      </c>
      <c r="I83">
        <v>33</v>
      </c>
      <c r="L83" s="128"/>
      <c r="M83" s="2"/>
      <c r="N83" s="2"/>
      <c r="O83" s="2"/>
      <c r="Q83" s="2"/>
      <c r="R83" s="2"/>
      <c r="S83" s="2"/>
    </row>
    <row r="84" spans="1:19">
      <c r="A84" s="128" t="s">
        <v>395</v>
      </c>
      <c r="B84" s="2">
        <v>424000</v>
      </c>
      <c r="D84" s="2">
        <v>424000</v>
      </c>
      <c r="E84" s="2">
        <v>96336.25</v>
      </c>
      <c r="F84" s="2">
        <v>192672.5</v>
      </c>
      <c r="G84" s="2">
        <v>192672.5</v>
      </c>
      <c r="H84" s="2">
        <v>231327.5</v>
      </c>
      <c r="I84">
        <v>55</v>
      </c>
      <c r="L84" s="128"/>
      <c r="M84" s="2"/>
      <c r="N84" s="2"/>
      <c r="O84" s="2"/>
      <c r="P84" s="2"/>
      <c r="Q84" s="2"/>
      <c r="R84" s="2"/>
      <c r="S84" s="2"/>
    </row>
    <row r="85" spans="1:19">
      <c r="A85" s="128" t="s">
        <v>396</v>
      </c>
      <c r="B85" s="2">
        <v>68382</v>
      </c>
      <c r="D85" s="2">
        <v>68382</v>
      </c>
      <c r="E85">
        <v>68381.039999999994</v>
      </c>
      <c r="F85">
        <v>68381.039999999994</v>
      </c>
      <c r="G85">
        <v>68381.039999999994</v>
      </c>
      <c r="H85" s="2">
        <v>0.96</v>
      </c>
      <c r="I85">
        <v>0</v>
      </c>
      <c r="L85" s="128"/>
      <c r="M85" s="2"/>
      <c r="N85" s="2"/>
      <c r="O85" s="2"/>
      <c r="P85" s="2"/>
      <c r="Q85" s="2"/>
      <c r="R85" s="2"/>
      <c r="S85" s="2"/>
    </row>
    <row r="86" spans="1:19">
      <c r="A86" s="128" t="s">
        <v>397</v>
      </c>
      <c r="B86" s="2">
        <v>41000</v>
      </c>
      <c r="D86" s="2">
        <v>41000</v>
      </c>
      <c r="E86" s="2">
        <v>3086</v>
      </c>
      <c r="F86" s="2">
        <v>22327</v>
      </c>
      <c r="G86" s="2">
        <v>40500</v>
      </c>
      <c r="H86">
        <v>500</v>
      </c>
      <c r="I86">
        <v>1</v>
      </c>
      <c r="L86" s="128"/>
      <c r="M86" s="2"/>
      <c r="N86" s="2"/>
      <c r="O86" s="2"/>
      <c r="P86" s="2"/>
      <c r="Q86" s="2"/>
      <c r="R86" s="2"/>
      <c r="S86" s="2"/>
    </row>
    <row r="87" spans="1:19">
      <c r="A87" s="128" t="s">
        <v>398</v>
      </c>
      <c r="B87" s="2">
        <v>1250</v>
      </c>
      <c r="D87" s="2">
        <v>1250</v>
      </c>
      <c r="E87">
        <v>51.38</v>
      </c>
      <c r="F87">
        <v>51.38</v>
      </c>
      <c r="G87">
        <v>51.38</v>
      </c>
      <c r="H87" s="2">
        <v>1198.6199999999999</v>
      </c>
      <c r="I87">
        <v>96</v>
      </c>
      <c r="L87" s="128"/>
      <c r="M87" s="2"/>
      <c r="N87" s="2"/>
      <c r="O87" s="2"/>
      <c r="S87" s="2"/>
    </row>
    <row r="88" spans="1:19">
      <c r="A88" s="128" t="s">
        <v>399</v>
      </c>
      <c r="B88" s="2">
        <v>103000</v>
      </c>
      <c r="D88" s="2">
        <v>76213.2</v>
      </c>
      <c r="E88" s="2">
        <v>0</v>
      </c>
      <c r="F88" s="2">
        <v>9954.4599999999991</v>
      </c>
      <c r="G88" s="2">
        <v>9954.4599999999991</v>
      </c>
      <c r="H88" s="2">
        <v>66258.740000000005</v>
      </c>
      <c r="I88">
        <v>87</v>
      </c>
      <c r="L88" s="128"/>
      <c r="M88" s="2"/>
      <c r="N88" s="2"/>
      <c r="O88" s="2"/>
      <c r="P88" s="2"/>
      <c r="Q88" s="2"/>
      <c r="R88" s="2"/>
      <c r="S88" s="2"/>
    </row>
    <row r="89" spans="1:19">
      <c r="A89" s="128" t="s">
        <v>400</v>
      </c>
      <c r="B89" s="2">
        <v>4884</v>
      </c>
      <c r="D89" s="2">
        <v>4884</v>
      </c>
      <c r="E89">
        <v>96.23</v>
      </c>
      <c r="F89">
        <v>384.92</v>
      </c>
      <c r="G89">
        <v>384.92</v>
      </c>
      <c r="H89" s="2">
        <v>4499.08</v>
      </c>
      <c r="I89">
        <v>92</v>
      </c>
      <c r="L89" s="128"/>
      <c r="M89" s="2"/>
      <c r="N89" s="2"/>
      <c r="O89" s="2"/>
      <c r="R89" s="2"/>
      <c r="S89" s="2"/>
    </row>
    <row r="90" spans="1:19">
      <c r="A90" s="133" t="s">
        <v>401</v>
      </c>
      <c r="B90" s="134"/>
      <c r="C90" s="134"/>
      <c r="D90" s="134"/>
      <c r="G90" s="134"/>
    </row>
    <row r="91" spans="1:19">
      <c r="A91" s="128" t="s">
        <v>402</v>
      </c>
      <c r="B91" s="2">
        <v>100000</v>
      </c>
      <c r="C91" s="134"/>
      <c r="D91" s="2">
        <v>85000</v>
      </c>
      <c r="E91" s="2">
        <v>0</v>
      </c>
      <c r="F91" s="2">
        <v>3858.2</v>
      </c>
      <c r="G91" s="2">
        <v>13809.2</v>
      </c>
      <c r="H91" s="2">
        <v>71190.8</v>
      </c>
      <c r="I91">
        <v>84</v>
      </c>
      <c r="L91" s="128"/>
      <c r="M91" s="2"/>
      <c r="N91" s="2"/>
      <c r="O91" s="2"/>
      <c r="Q91" s="2"/>
      <c r="R91" s="2"/>
      <c r="S91" s="2"/>
    </row>
    <row r="92" spans="1:19">
      <c r="A92" s="128" t="s">
        <v>403</v>
      </c>
      <c r="B92" s="2">
        <v>595872.65</v>
      </c>
      <c r="C92" s="134"/>
      <c r="D92" s="2">
        <v>613154.27</v>
      </c>
      <c r="E92">
        <v>98639</v>
      </c>
      <c r="F92">
        <v>252494.75</v>
      </c>
      <c r="G92" s="2">
        <v>613154.27</v>
      </c>
      <c r="H92">
        <v>0</v>
      </c>
      <c r="I92">
        <v>0</v>
      </c>
      <c r="L92" s="128"/>
      <c r="M92" s="2"/>
      <c r="N92" s="2"/>
      <c r="O92" s="2"/>
      <c r="P92" s="2"/>
      <c r="Q92" s="2"/>
      <c r="R92" s="2"/>
      <c r="S92" s="2"/>
    </row>
    <row r="93" spans="1:19">
      <c r="A93" s="128" t="s">
        <v>404</v>
      </c>
      <c r="B93" s="2">
        <v>1119433.6299999999</v>
      </c>
      <c r="C93" s="134"/>
      <c r="D93" s="2">
        <v>1076333.6299999999</v>
      </c>
      <c r="E93">
        <v>240806</v>
      </c>
      <c r="F93">
        <v>937237.59</v>
      </c>
      <c r="G93" s="2">
        <v>999033.19</v>
      </c>
      <c r="H93" s="2">
        <v>77300.44</v>
      </c>
      <c r="I93">
        <v>7</v>
      </c>
      <c r="L93" s="128"/>
      <c r="M93" s="2"/>
      <c r="N93" s="2"/>
      <c r="O93" s="2"/>
      <c r="P93" s="2"/>
      <c r="Q93" s="2"/>
      <c r="R93" s="2"/>
      <c r="S93" s="2"/>
    </row>
    <row r="94" spans="1:19">
      <c r="A94" s="128" t="s">
        <v>405</v>
      </c>
      <c r="B94" s="2">
        <v>57620</v>
      </c>
      <c r="C94" s="134"/>
      <c r="D94" s="2">
        <v>57620</v>
      </c>
      <c r="E94">
        <v>0</v>
      </c>
      <c r="F94">
        <v>0</v>
      </c>
      <c r="G94">
        <v>0</v>
      </c>
      <c r="H94" s="2">
        <v>57620</v>
      </c>
      <c r="I94">
        <v>100</v>
      </c>
      <c r="L94" s="128"/>
      <c r="M94" s="2"/>
      <c r="N94" s="2"/>
      <c r="O94" s="2"/>
      <c r="S94" s="2"/>
    </row>
    <row r="95" spans="1:19">
      <c r="A95" s="133" t="s">
        <v>406</v>
      </c>
      <c r="B95" s="134"/>
      <c r="C95" s="134"/>
      <c r="D95" s="134"/>
      <c r="G95" s="134"/>
    </row>
    <row r="96" spans="1:19">
      <c r="A96" s="128" t="s">
        <v>407</v>
      </c>
      <c r="B96" s="2">
        <v>78523221.010000005</v>
      </c>
      <c r="D96" s="2">
        <v>78523221.010000005</v>
      </c>
      <c r="E96" s="2">
        <v>6717747.9100000001</v>
      </c>
      <c r="F96" s="2">
        <v>26853800.440000001</v>
      </c>
      <c r="G96" s="2">
        <v>34068506.969999999</v>
      </c>
      <c r="H96" s="2">
        <v>44454714.039999999</v>
      </c>
      <c r="I96">
        <v>57</v>
      </c>
      <c r="L96" s="128"/>
      <c r="M96" s="2"/>
      <c r="N96" s="2"/>
      <c r="O96" s="2"/>
      <c r="P96" s="2"/>
      <c r="Q96" s="2"/>
      <c r="R96" s="2"/>
      <c r="S96" s="2"/>
    </row>
    <row r="97" spans="1:1">
      <c r="A97" s="128" t="s">
        <v>173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1569B-DC3A-476D-8F82-43D3D34BC79A}">
  <sheetPr>
    <tabColor rgb="FFFFFF00"/>
  </sheetPr>
  <dimension ref="A1:N36"/>
  <sheetViews>
    <sheetView workbookViewId="0">
      <selection activeCell="J24" sqref="J24"/>
    </sheetView>
  </sheetViews>
  <sheetFormatPr defaultRowHeight="13.2"/>
  <cols>
    <col min="1" max="1" width="41.33203125" bestFit="1" customWidth="1"/>
    <col min="2" max="2" width="23.6640625" bestFit="1" customWidth="1"/>
    <col min="3" max="3" width="3" customWidth="1"/>
    <col min="4" max="4" width="20.109375" bestFit="1" customWidth="1"/>
    <col min="5" max="5" width="3" customWidth="1"/>
    <col min="6" max="6" width="21.88671875" bestFit="1" customWidth="1"/>
    <col min="7" max="7" width="3" customWidth="1"/>
    <col min="8" max="8" width="22.109375" bestFit="1" customWidth="1"/>
    <col min="9" max="9" width="18.33203125" bestFit="1" customWidth="1"/>
    <col min="10" max="10" width="23.44140625" bestFit="1" customWidth="1"/>
    <col min="11" max="11" width="22" bestFit="1" customWidth="1"/>
    <col min="12" max="12" width="12.5546875" bestFit="1" customWidth="1"/>
    <col min="13" max="13" width="3" customWidth="1"/>
    <col min="14" max="14" width="22" bestFit="1" customWidth="1"/>
    <col min="15" max="15" width="12.5546875" bestFit="1" customWidth="1"/>
  </cols>
  <sheetData>
    <row r="1" spans="1:14">
      <c r="A1" s="128"/>
      <c r="D1" t="s">
        <v>473</v>
      </c>
      <c r="F1" t="s">
        <v>474</v>
      </c>
      <c r="J1" t="s">
        <v>516</v>
      </c>
    </row>
    <row r="2" spans="1:14">
      <c r="A2" s="128"/>
      <c r="D2" t="s">
        <v>476</v>
      </c>
      <c r="F2" t="s">
        <v>477</v>
      </c>
      <c r="J2" t="s">
        <v>178</v>
      </c>
    </row>
    <row r="3" spans="1:14">
      <c r="A3" s="128"/>
      <c r="D3" t="s">
        <v>478</v>
      </c>
      <c r="F3" t="s">
        <v>479</v>
      </c>
    </row>
    <row r="4" spans="1:14">
      <c r="A4" s="128"/>
    </row>
    <row r="5" spans="1:14">
      <c r="A5" s="128" t="s">
        <v>180</v>
      </c>
    </row>
    <row r="6" spans="1:14">
      <c r="A6" s="128" t="s">
        <v>517</v>
      </c>
      <c r="B6" t="s">
        <v>518</v>
      </c>
      <c r="D6" t="s">
        <v>510</v>
      </c>
      <c r="F6" t="s">
        <v>511</v>
      </c>
      <c r="H6" t="s">
        <v>512</v>
      </c>
      <c r="I6" t="s">
        <v>513</v>
      </c>
    </row>
    <row r="7" spans="1:14">
      <c r="A7" s="128" t="s">
        <v>314</v>
      </c>
      <c r="B7" t="s">
        <v>486</v>
      </c>
      <c r="D7" t="s">
        <v>487</v>
      </c>
      <c r="F7" t="s">
        <v>488</v>
      </c>
      <c r="H7" t="s">
        <v>0</v>
      </c>
      <c r="I7" t="s">
        <v>489</v>
      </c>
      <c r="J7" t="s">
        <v>490</v>
      </c>
    </row>
    <row r="8" spans="1:14">
      <c r="A8" s="128" t="s">
        <v>491</v>
      </c>
      <c r="B8" t="s">
        <v>492</v>
      </c>
      <c r="D8" t="s">
        <v>493</v>
      </c>
      <c r="F8" t="s">
        <v>492</v>
      </c>
      <c r="H8" t="s">
        <v>494</v>
      </c>
      <c r="I8" t="s">
        <v>493</v>
      </c>
      <c r="J8" t="s">
        <v>257</v>
      </c>
    </row>
    <row r="9" spans="1:14">
      <c r="A9" s="128"/>
    </row>
    <row r="10" spans="1:14">
      <c r="A10" s="128" t="s">
        <v>495</v>
      </c>
      <c r="B10" s="2">
        <v>200832789</v>
      </c>
      <c r="C10" s="2"/>
      <c r="D10" s="2">
        <v>200832789</v>
      </c>
      <c r="E10" s="2"/>
      <c r="F10" s="2">
        <v>2021603.19</v>
      </c>
      <c r="G10" s="2"/>
      <c r="H10" s="2">
        <v>200014377.97999999</v>
      </c>
      <c r="I10" s="2">
        <v>818411.02</v>
      </c>
      <c r="J10">
        <v>0</v>
      </c>
    </row>
    <row r="11" spans="1:14">
      <c r="A11" s="128" t="s">
        <v>496</v>
      </c>
      <c r="B11" s="2">
        <v>100000</v>
      </c>
      <c r="C11" s="2"/>
      <c r="D11" s="2">
        <v>100000</v>
      </c>
      <c r="E11" s="2"/>
      <c r="F11" s="2">
        <v>60657.04</v>
      </c>
      <c r="G11" s="2"/>
      <c r="H11" s="2">
        <v>-341420.84</v>
      </c>
      <c r="I11" s="2">
        <v>441420.84</v>
      </c>
      <c r="J11">
        <v>-441</v>
      </c>
    </row>
    <row r="12" spans="1:14">
      <c r="A12" s="128" t="s">
        <v>514</v>
      </c>
      <c r="B12" s="2">
        <v>113253</v>
      </c>
      <c r="C12" s="2"/>
      <c r="D12" s="2">
        <v>113253</v>
      </c>
      <c r="E12" s="2"/>
      <c r="F12" s="2">
        <v>1061.43</v>
      </c>
      <c r="G12" s="2"/>
      <c r="H12" s="2">
        <v>32882.400000000001</v>
      </c>
      <c r="I12" s="2">
        <v>80370.600000000006</v>
      </c>
      <c r="J12" s="2">
        <v>-71</v>
      </c>
      <c r="K12" s="2"/>
      <c r="L12" s="2"/>
      <c r="M12" s="2"/>
      <c r="N12" s="2"/>
    </row>
    <row r="13" spans="1:14">
      <c r="A13" s="128" t="s">
        <v>504</v>
      </c>
      <c r="B13" s="2">
        <v>1340130</v>
      </c>
      <c r="C13" s="2"/>
      <c r="D13" s="2">
        <v>1340130</v>
      </c>
      <c r="E13" s="2"/>
      <c r="F13" s="2">
        <v>123554.96</v>
      </c>
      <c r="G13" s="2"/>
      <c r="H13" s="2">
        <v>923807.49</v>
      </c>
      <c r="I13" s="2">
        <v>416322.51</v>
      </c>
      <c r="J13" s="2">
        <v>-31</v>
      </c>
      <c r="K13" s="2"/>
      <c r="L13" s="2"/>
      <c r="M13" s="2"/>
      <c r="N13" s="2"/>
    </row>
    <row r="14" spans="1:14">
      <c r="A14" s="128" t="s">
        <v>515</v>
      </c>
      <c r="B14" s="2">
        <v>20318367</v>
      </c>
      <c r="C14" s="2"/>
      <c r="D14" s="2">
        <v>20318367</v>
      </c>
      <c r="E14" s="2"/>
      <c r="F14">
        <v>0</v>
      </c>
      <c r="H14">
        <v>0</v>
      </c>
      <c r="I14" s="2">
        <v>20318367</v>
      </c>
      <c r="J14">
        <v>-100</v>
      </c>
    </row>
    <row r="15" spans="1:14">
      <c r="A15" s="128" t="s">
        <v>407</v>
      </c>
      <c r="B15" s="2">
        <v>222704539</v>
      </c>
      <c r="C15" s="2"/>
      <c r="D15" s="2">
        <v>222704539</v>
      </c>
      <c r="E15" s="2"/>
      <c r="F15" s="2">
        <v>2206876.62</v>
      </c>
      <c r="G15" s="2"/>
      <c r="H15" s="2">
        <v>200629647.03</v>
      </c>
      <c r="I15" s="2">
        <v>22074891.969999999</v>
      </c>
      <c r="J15" s="2">
        <v>-10</v>
      </c>
      <c r="K15" s="2"/>
      <c r="L15" s="2"/>
      <c r="M15" s="2"/>
      <c r="N15" s="2"/>
    </row>
    <row r="16" spans="1:14">
      <c r="A16" s="128"/>
    </row>
    <row r="17" spans="1:14">
      <c r="A17" s="128"/>
    </row>
    <row r="18" spans="1:14">
      <c r="A18" s="128"/>
    </row>
    <row r="19" spans="1:14">
      <c r="A19" s="128"/>
    </row>
    <row r="20" spans="1:14">
      <c r="A20" s="128"/>
    </row>
    <row r="21" spans="1:14">
      <c r="A21" s="128"/>
      <c r="B21" s="2"/>
      <c r="C21" s="2"/>
      <c r="D21" s="2"/>
      <c r="E21" s="2"/>
      <c r="F21" s="2"/>
      <c r="G21" s="2"/>
      <c r="H21" s="2"/>
      <c r="I21" s="2"/>
      <c r="J21" s="2"/>
      <c r="K21" s="2"/>
      <c r="N21" s="2"/>
    </row>
    <row r="22" spans="1:14">
      <c r="A22" s="128"/>
    </row>
    <row r="23" spans="1:14">
      <c r="A23" s="128"/>
      <c r="B23" s="2"/>
      <c r="C23" s="2"/>
      <c r="D23" s="2"/>
      <c r="E23" s="2"/>
      <c r="F23" s="2"/>
      <c r="G23" s="2"/>
      <c r="H23" s="2"/>
      <c r="I23" s="2"/>
      <c r="J23" s="2"/>
      <c r="K23" s="2"/>
      <c r="N23" s="2"/>
    </row>
    <row r="24" spans="1:14">
      <c r="A24" s="128"/>
    </row>
    <row r="25" spans="1:14">
      <c r="A25" s="128"/>
    </row>
    <row r="26" spans="1:14">
      <c r="A26" s="12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8" spans="1:14">
      <c r="A28" s="128"/>
      <c r="B28" s="2"/>
      <c r="C28" s="2"/>
      <c r="D28" s="2"/>
      <c r="E28" s="2"/>
      <c r="F28" s="2"/>
      <c r="G28" s="2"/>
      <c r="H28" s="2"/>
      <c r="K28" s="2"/>
      <c r="N28" s="2"/>
    </row>
    <row r="30" spans="1:14">
      <c r="A30" s="128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4">
      <c r="A31" s="12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>
      <c r="A32" s="128"/>
    </row>
    <row r="33" spans="1:14">
      <c r="A33" s="128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4">
      <c r="A34" s="12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>
      <c r="A35" s="128"/>
    </row>
    <row r="36" spans="1:14">
      <c r="A36" s="1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GF Summary</vt:lpstr>
      <vt:lpstr>GF REPORT REV</vt:lpstr>
      <vt:lpstr>GF REPORT REV-SUP</vt:lpstr>
      <vt:lpstr>GF REPORT EXP</vt:lpstr>
      <vt:lpstr>GF REPORT EXP-SUP</vt:lpstr>
      <vt:lpstr>R&amp;B and Debt Svc</vt:lpstr>
      <vt:lpstr>R&amp;B - SUP</vt:lpstr>
      <vt:lpstr>R&amp;B - SUP - EXP</vt:lpstr>
      <vt:lpstr>Debt Svc - SUP</vt:lpstr>
      <vt:lpstr>Debt Svc - EXP</vt:lpstr>
      <vt:lpstr>Not Used - Tax Comparison</vt:lpstr>
      <vt:lpstr>Not Used - GF Summary Target</vt:lpstr>
      <vt:lpstr>Not Used - GF REPORT REV Target</vt:lpstr>
      <vt:lpstr>Not Used - GF REPORT EXP Target</vt:lpstr>
      <vt:lpstr>Not Used -R&amp;B &amp; Debt Svc Target</vt:lpstr>
      <vt:lpstr>'GF REPORT EXP'!Print_Area</vt:lpstr>
      <vt:lpstr>'GF REPORT REV'!Print_Area</vt:lpstr>
      <vt:lpstr>'GF Summary'!Print_Area</vt:lpstr>
      <vt:lpstr>'Not Used - GF REPORT EXP Target'!Print_Area</vt:lpstr>
      <vt:lpstr>'Not Used - GF REPORT REV Target'!Print_Area</vt:lpstr>
      <vt:lpstr>'Not Used - Tax Comparison'!Print_Area</vt:lpstr>
      <vt:lpstr>'Not Used -R&amp;B &amp; Debt Svc Target'!Print_Area</vt:lpstr>
      <vt:lpstr>'R&amp;B and Debt Svc'!Print_Area</vt:lpstr>
      <vt:lpstr>'GF REPORT EXP'!Print_Titles</vt:lpstr>
      <vt:lpstr>'GF REPORT REV'!Print_Titles</vt:lpstr>
      <vt:lpstr>'Not Used - GF REPORT EXP Target'!Print_Titles</vt:lpstr>
      <vt:lpstr>'Not Used - GF REPORT REV Target'!Print_Titles</vt:lpstr>
      <vt:lpstr>'Not Used - Tax Comparison'!Print_Titles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Dukes</dc:creator>
  <cp:lastModifiedBy>Nathan Zinsmeyer</cp:lastModifiedBy>
  <cp:lastPrinted>2026-05-04T21:09:37Z</cp:lastPrinted>
  <dcterms:created xsi:type="dcterms:W3CDTF">2006-03-29T20:47:31Z</dcterms:created>
  <dcterms:modified xsi:type="dcterms:W3CDTF">2026-06-09T20:17:08Z</dcterms:modified>
</cp:coreProperties>
</file>